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840" yWindow="708" windowWidth="14460" windowHeight="8256"/>
  </bookViews>
  <sheets>
    <sheet name="685-9" sheetId="1" r:id="rId1"/>
  </sheets>
  <definedNames>
    <definedName name="_xlnm.Print_Area" localSheetId="0">'685-9'!$A$1:$T$103</definedName>
  </definedNames>
  <calcPr calcId="171027"/>
</workbook>
</file>

<file path=xl/calcChain.xml><?xml version="1.0" encoding="utf-8"?>
<calcChain xmlns="http://schemas.openxmlformats.org/spreadsheetml/2006/main">
  <c r="Q76" i="1" l="1"/>
  <c r="Q75" i="1"/>
  <c r="Q74" i="1"/>
  <c r="Q73" i="1"/>
  <c r="Q72" i="1"/>
  <c r="O72" i="1"/>
  <c r="Q71" i="1"/>
  <c r="O71" i="1"/>
  <c r="I71" i="1"/>
  <c r="S70" i="1"/>
  <c r="Q70" i="1"/>
  <c r="O70" i="1"/>
  <c r="I70" i="1"/>
  <c r="S69" i="1"/>
  <c r="Q69" i="1"/>
  <c r="O69" i="1"/>
  <c r="M69" i="1"/>
  <c r="K69" i="1"/>
  <c r="I69" i="1"/>
  <c r="S68" i="1"/>
  <c r="Q68" i="1"/>
  <c r="O68" i="1"/>
  <c r="M68" i="1"/>
  <c r="K68" i="1"/>
  <c r="I68" i="1"/>
  <c r="S67" i="1"/>
  <c r="Q67" i="1"/>
  <c r="O67" i="1"/>
  <c r="M67" i="1"/>
  <c r="K67" i="1"/>
  <c r="I67" i="1"/>
  <c r="S66" i="1"/>
  <c r="Q66" i="1"/>
  <c r="O66" i="1"/>
  <c r="M66" i="1"/>
  <c r="K66" i="1"/>
  <c r="I66" i="1"/>
  <c r="S65" i="1"/>
  <c r="Q65" i="1"/>
  <c r="O65" i="1"/>
  <c r="M65" i="1"/>
  <c r="K65" i="1"/>
  <c r="I65" i="1"/>
  <c r="S64" i="1"/>
  <c r="Q64" i="1"/>
  <c r="O64" i="1"/>
  <c r="M64" i="1"/>
  <c r="K64" i="1"/>
  <c r="I64" i="1"/>
  <c r="S63" i="1"/>
  <c r="Q63" i="1"/>
  <c r="O63" i="1"/>
  <c r="M63" i="1"/>
  <c r="K63" i="1"/>
  <c r="I63" i="1"/>
  <c r="S62" i="1"/>
  <c r="Q62" i="1"/>
  <c r="O62" i="1"/>
  <c r="M62" i="1"/>
  <c r="K62" i="1"/>
  <c r="I62" i="1"/>
  <c r="S61" i="1"/>
  <c r="Q61" i="1"/>
  <c r="O61" i="1"/>
  <c r="M61" i="1"/>
  <c r="K61" i="1"/>
  <c r="I61" i="1"/>
  <c r="S60" i="1"/>
  <c r="Q60" i="1"/>
  <c r="O60" i="1"/>
  <c r="M60" i="1"/>
  <c r="K60" i="1"/>
  <c r="I60" i="1"/>
  <c r="S59" i="1"/>
  <c r="Q59" i="1"/>
  <c r="O59" i="1"/>
  <c r="M59" i="1"/>
  <c r="K59" i="1"/>
  <c r="I59" i="1"/>
  <c r="S58" i="1"/>
  <c r="Q58" i="1"/>
  <c r="O58" i="1"/>
  <c r="M58" i="1"/>
  <c r="K58" i="1"/>
  <c r="I58" i="1"/>
  <c r="S57" i="1"/>
  <c r="Q57" i="1"/>
  <c r="O57" i="1"/>
  <c r="M57" i="1"/>
  <c r="K57" i="1"/>
  <c r="I57" i="1"/>
  <c r="S56" i="1"/>
  <c r="Q56" i="1"/>
  <c r="O56" i="1"/>
  <c r="M56" i="1"/>
  <c r="K56" i="1"/>
  <c r="I56" i="1"/>
  <c r="S55" i="1"/>
  <c r="Q55" i="1"/>
  <c r="O55" i="1"/>
  <c r="M55" i="1"/>
  <c r="K55" i="1"/>
  <c r="I55" i="1"/>
  <c r="S54" i="1"/>
  <c r="Q54" i="1"/>
  <c r="O54" i="1"/>
  <c r="M54" i="1"/>
  <c r="K54" i="1"/>
  <c r="I54" i="1"/>
  <c r="S53" i="1"/>
  <c r="Q53" i="1"/>
  <c r="O53" i="1"/>
  <c r="M53" i="1"/>
  <c r="K53" i="1"/>
  <c r="I53" i="1"/>
  <c r="S52" i="1"/>
  <c r="Q52" i="1"/>
  <c r="O52" i="1"/>
  <c r="M52" i="1"/>
  <c r="K52" i="1"/>
  <c r="I52" i="1"/>
  <c r="S51" i="1"/>
  <c r="Q51" i="1"/>
  <c r="O51" i="1"/>
  <c r="M51" i="1"/>
  <c r="K51" i="1"/>
  <c r="I51" i="1"/>
  <c r="S50" i="1"/>
  <c r="Q50" i="1"/>
  <c r="O50" i="1"/>
  <c r="M50" i="1"/>
  <c r="K50" i="1"/>
  <c r="I50" i="1"/>
  <c r="S49" i="1"/>
  <c r="Q49" i="1"/>
  <c r="O49" i="1"/>
  <c r="M49" i="1"/>
  <c r="K49" i="1"/>
  <c r="I49" i="1"/>
  <c r="S48" i="1"/>
  <c r="Q48" i="1"/>
  <c r="O48" i="1"/>
  <c r="M48" i="1"/>
  <c r="K48" i="1"/>
  <c r="I48" i="1"/>
  <c r="S47" i="1"/>
  <c r="Q47" i="1"/>
  <c r="O47" i="1"/>
  <c r="M47" i="1"/>
  <c r="K47" i="1"/>
  <c r="I47" i="1"/>
  <c r="S46" i="1"/>
  <c r="Q46" i="1"/>
  <c r="O46" i="1"/>
  <c r="M46" i="1"/>
  <c r="K46" i="1"/>
  <c r="I46" i="1"/>
  <c r="S45" i="1"/>
  <c r="Q45" i="1"/>
  <c r="O45" i="1"/>
  <c r="M45" i="1"/>
  <c r="K45" i="1"/>
  <c r="I45" i="1"/>
  <c r="S44" i="1"/>
  <c r="Q44" i="1"/>
  <c r="O44" i="1"/>
  <c r="M44" i="1"/>
  <c r="K44" i="1"/>
  <c r="I44" i="1"/>
  <c r="S43" i="1"/>
  <c r="Q43" i="1"/>
  <c r="O43" i="1"/>
  <c r="M43" i="1"/>
  <c r="K43" i="1"/>
  <c r="I43" i="1"/>
  <c r="S42" i="1"/>
  <c r="Q42" i="1"/>
  <c r="O42" i="1"/>
  <c r="M42" i="1"/>
  <c r="K42" i="1"/>
  <c r="I42" i="1"/>
  <c r="S41" i="1"/>
  <c r="Q41" i="1"/>
  <c r="O41" i="1"/>
  <c r="M41" i="1"/>
  <c r="K41" i="1"/>
  <c r="I41" i="1"/>
  <c r="S40" i="1"/>
  <c r="Q40" i="1"/>
  <c r="O40" i="1"/>
  <c r="M40" i="1"/>
  <c r="K40" i="1"/>
  <c r="I40" i="1"/>
  <c r="S39" i="1"/>
  <c r="Q39" i="1"/>
  <c r="O39" i="1"/>
  <c r="M39" i="1"/>
  <c r="K39" i="1"/>
  <c r="I39" i="1"/>
  <c r="S38" i="1"/>
  <c r="Q38" i="1"/>
  <c r="O38" i="1"/>
  <c r="M38" i="1"/>
  <c r="K38" i="1"/>
  <c r="I38" i="1"/>
  <c r="S37" i="1"/>
  <c r="Q37" i="1"/>
  <c r="O37" i="1"/>
  <c r="M37" i="1"/>
  <c r="K37" i="1"/>
  <c r="I37" i="1"/>
  <c r="S36" i="1"/>
  <c r="Q36" i="1"/>
  <c r="O36" i="1"/>
  <c r="M36" i="1"/>
  <c r="K36" i="1"/>
  <c r="I36" i="1"/>
  <c r="S35" i="1"/>
  <c r="Q35" i="1"/>
  <c r="O35" i="1"/>
  <c r="M35" i="1"/>
  <c r="K35" i="1"/>
  <c r="I35" i="1"/>
  <c r="S34" i="1"/>
  <c r="Q34" i="1"/>
  <c r="O34" i="1"/>
  <c r="M34" i="1"/>
  <c r="K34" i="1"/>
  <c r="I34" i="1"/>
  <c r="S33" i="1"/>
  <c r="Q33" i="1"/>
  <c r="O33" i="1"/>
  <c r="M33" i="1"/>
  <c r="K33" i="1"/>
  <c r="I33" i="1"/>
  <c r="S32" i="1"/>
  <c r="Q32" i="1"/>
  <c r="O32" i="1"/>
  <c r="M32" i="1"/>
  <c r="K32" i="1"/>
  <c r="I32" i="1"/>
  <c r="S31" i="1"/>
  <c r="Q31" i="1"/>
  <c r="O31" i="1"/>
  <c r="M31" i="1"/>
  <c r="K31" i="1"/>
  <c r="I31" i="1"/>
  <c r="S30" i="1"/>
  <c r="Q30" i="1"/>
  <c r="O30" i="1"/>
  <c r="M30" i="1"/>
  <c r="K30" i="1"/>
  <c r="I30" i="1"/>
  <c r="S29" i="1"/>
  <c r="Q29" i="1"/>
  <c r="O29" i="1"/>
  <c r="M29" i="1"/>
  <c r="K29" i="1"/>
  <c r="I29" i="1"/>
  <c r="S28" i="1"/>
  <c r="Q28" i="1"/>
  <c r="O28" i="1"/>
  <c r="M28" i="1"/>
  <c r="K28" i="1"/>
  <c r="I28" i="1"/>
  <c r="S27" i="1"/>
  <c r="Q27" i="1"/>
  <c r="O27" i="1"/>
  <c r="M27" i="1"/>
  <c r="K27" i="1"/>
  <c r="I27" i="1"/>
  <c r="S26" i="1"/>
  <c r="Q26" i="1"/>
  <c r="O26" i="1"/>
  <c r="M26" i="1"/>
  <c r="K26" i="1"/>
  <c r="I26" i="1"/>
  <c r="S25" i="1"/>
  <c r="Q25" i="1"/>
  <c r="O25" i="1"/>
  <c r="M25" i="1"/>
  <c r="K25" i="1"/>
  <c r="I25" i="1"/>
  <c r="S24" i="1"/>
  <c r="Q24" i="1"/>
  <c r="O24" i="1"/>
  <c r="M24" i="1"/>
  <c r="K24" i="1"/>
  <c r="I24" i="1"/>
  <c r="S23" i="1"/>
  <c r="Q23" i="1"/>
  <c r="O23" i="1"/>
  <c r="M23" i="1"/>
  <c r="K23" i="1"/>
  <c r="I23" i="1"/>
  <c r="S22" i="1"/>
  <c r="Q22" i="1"/>
  <c r="O22" i="1"/>
  <c r="M22" i="1"/>
  <c r="K22" i="1"/>
  <c r="I22" i="1"/>
  <c r="S21" i="1"/>
  <c r="Q21" i="1"/>
  <c r="O21" i="1"/>
  <c r="M21" i="1"/>
  <c r="K21" i="1"/>
  <c r="I21" i="1"/>
  <c r="S20" i="1"/>
  <c r="Q20" i="1"/>
  <c r="O20" i="1"/>
  <c r="M20" i="1"/>
  <c r="K20" i="1"/>
  <c r="I20" i="1"/>
  <c r="S19" i="1"/>
  <c r="Q19" i="1"/>
  <c r="O19" i="1"/>
  <c r="M19" i="1"/>
  <c r="K19" i="1"/>
  <c r="I19" i="1"/>
  <c r="S18" i="1"/>
  <c r="Q18" i="1"/>
  <c r="O18" i="1"/>
  <c r="M18" i="1"/>
  <c r="K18" i="1"/>
  <c r="I18" i="1"/>
  <c r="S17" i="1"/>
  <c r="Q17" i="1"/>
  <c r="O17" i="1"/>
  <c r="M17" i="1"/>
  <c r="K17" i="1"/>
  <c r="I17" i="1"/>
  <c r="S16" i="1"/>
  <c r="Q16" i="1"/>
  <c r="O16" i="1"/>
  <c r="M16" i="1"/>
  <c r="K16" i="1"/>
  <c r="I16" i="1"/>
  <c r="S15" i="1"/>
  <c r="Q15" i="1"/>
  <c r="O15" i="1"/>
  <c r="M15" i="1"/>
  <c r="K15" i="1"/>
  <c r="I15" i="1"/>
  <c r="S14" i="1"/>
  <c r="Q14" i="1"/>
  <c r="O14" i="1"/>
  <c r="M14" i="1"/>
  <c r="K14" i="1"/>
  <c r="I14" i="1"/>
  <c r="S13" i="1"/>
  <c r="Q13" i="1"/>
  <c r="O13" i="1"/>
  <c r="M13" i="1"/>
  <c r="K13" i="1"/>
  <c r="I13" i="1"/>
  <c r="S12" i="1"/>
  <c r="Q12" i="1"/>
  <c r="O12" i="1"/>
  <c r="M12" i="1"/>
  <c r="K12" i="1"/>
  <c r="I12" i="1"/>
  <c r="S11" i="1"/>
  <c r="Q11" i="1"/>
  <c r="O11" i="1"/>
  <c r="M11" i="1"/>
  <c r="K11" i="1"/>
  <c r="I11" i="1"/>
  <c r="S10" i="1"/>
  <c r="Q10" i="1"/>
  <c r="O10" i="1"/>
  <c r="M10" i="1"/>
  <c r="K10" i="1"/>
  <c r="I10" i="1"/>
</calcChain>
</file>

<file path=xl/sharedStrings.xml><?xml version="1.0" encoding="utf-8"?>
<sst xmlns="http://schemas.openxmlformats.org/spreadsheetml/2006/main" count="44" uniqueCount="19">
  <si>
    <t>Current</t>
  </si>
  <si>
    <t>Time</t>
  </si>
  <si>
    <t>S&amp;C Vista Underground Distribution Switchgear Overcurrent Control</t>
  </si>
  <si>
    <t>Tap Interrupter Speed (TCC 685-9)</t>
  </si>
  <si>
    <t>Minimum Tripping Time-Current Characteristic Curves Dated February 16, 2009</t>
  </si>
  <si>
    <t>Tolerance:</t>
  </si>
  <si>
    <t>Curves are plotted to maximum test points.</t>
  </si>
  <si>
    <t>Maximum variations are plu 10% in  terms of current, plus 20% in terms of time,</t>
  </si>
  <si>
    <t>or plus 6 milliseconds (60-Hz), plus 10 milliseconds (50-Hz), whichever is greater.</t>
  </si>
  <si>
    <t>50 A</t>
  </si>
  <si>
    <t>65 A</t>
  </si>
  <si>
    <t>80 A</t>
  </si>
  <si>
    <t>100 A</t>
  </si>
  <si>
    <t>150 A</t>
  </si>
  <si>
    <t>200 A</t>
  </si>
  <si>
    <t>250 A</t>
  </si>
  <si>
    <t>300 A</t>
  </si>
  <si>
    <t>350 A</t>
  </si>
  <si>
    <t>400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</si>
</sst>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NumberFormat="1" applyBorder="1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NumberForma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NumberFormat="1" applyBorder="1"/>
    <xf numFmtId="0" fontId="0" fillId="0" borderId="6" xfId="0" applyBorder="1"/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8"/>
  <sheetViews>
    <sheetView tabSelected="1" zoomScaleNormal="100" zoomScalePageLayoutView="40" workbookViewId="0">
      <selection activeCell="A7" sqref="A7"/>
    </sheetView>
  </sheetViews>
  <sheetFormatPr defaultColWidth="9.109375" defaultRowHeight="13.2" x14ac:dyDescent="0.25"/>
  <cols>
    <col min="1" max="20" width="8.88671875" customWidth="1"/>
  </cols>
  <sheetData>
    <row r="1" spans="1:20" x14ac:dyDescent="0.25">
      <c r="A1" t="s">
        <v>2</v>
      </c>
      <c r="K1" t="s">
        <v>2</v>
      </c>
    </row>
    <row r="2" spans="1:20" x14ac:dyDescent="0.25">
      <c r="A2" s="19" t="s">
        <v>3</v>
      </c>
      <c r="K2" s="19" t="s">
        <v>3</v>
      </c>
    </row>
    <row r="3" spans="1:20" x14ac:dyDescent="0.25">
      <c r="A3" s="19" t="s">
        <v>4</v>
      </c>
      <c r="B3" s="1"/>
      <c r="C3" s="1"/>
      <c r="D3" s="1"/>
      <c r="E3" s="1"/>
      <c r="F3" s="1"/>
      <c r="G3" s="1"/>
      <c r="H3" s="1"/>
      <c r="I3" s="1"/>
      <c r="J3" s="1"/>
      <c r="K3" s="19" t="s">
        <v>4</v>
      </c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9" t="s">
        <v>5</v>
      </c>
      <c r="B4" s="19" t="s">
        <v>6</v>
      </c>
      <c r="K4" s="19" t="s">
        <v>5</v>
      </c>
      <c r="L4" s="19" t="s">
        <v>6</v>
      </c>
    </row>
    <row r="5" spans="1:20" x14ac:dyDescent="0.25">
      <c r="B5" s="19" t="s">
        <v>7</v>
      </c>
      <c r="L5" s="19" t="s">
        <v>7</v>
      </c>
    </row>
    <row r="6" spans="1:20" x14ac:dyDescent="0.25">
      <c r="B6" s="19" t="s">
        <v>8</v>
      </c>
      <c r="L6" s="19" t="s">
        <v>8</v>
      </c>
    </row>
    <row r="7" spans="1:20" ht="13.8" thickBot="1" x14ac:dyDescent="0.3"/>
    <row r="8" spans="1:20" ht="13.8" thickBot="1" x14ac:dyDescent="0.3">
      <c r="A8" s="27" t="s">
        <v>9</v>
      </c>
      <c r="B8" s="28"/>
      <c r="C8" s="27" t="s">
        <v>10</v>
      </c>
      <c r="D8" s="28"/>
      <c r="E8" s="27" t="s">
        <v>11</v>
      </c>
      <c r="F8" s="28"/>
      <c r="G8" s="27" t="s">
        <v>12</v>
      </c>
      <c r="H8" s="28"/>
      <c r="I8" s="27" t="s">
        <v>13</v>
      </c>
      <c r="J8" s="28"/>
      <c r="K8" s="27" t="s">
        <v>14</v>
      </c>
      <c r="L8" s="28"/>
      <c r="M8" s="27" t="s">
        <v>15</v>
      </c>
      <c r="N8" s="28"/>
      <c r="O8" s="27" t="s">
        <v>16</v>
      </c>
      <c r="P8" s="28"/>
      <c r="Q8" s="27" t="s">
        <v>17</v>
      </c>
      <c r="R8" s="28"/>
      <c r="S8" s="27" t="s">
        <v>18</v>
      </c>
      <c r="T8" s="28"/>
    </row>
    <row r="9" spans="1:20" ht="13.8" thickBot="1" x14ac:dyDescent="0.3">
      <c r="A9" s="23" t="s">
        <v>0</v>
      </c>
      <c r="B9" s="24" t="s">
        <v>1</v>
      </c>
      <c r="C9" s="22" t="s">
        <v>0</v>
      </c>
      <c r="D9" s="22" t="s">
        <v>1</v>
      </c>
      <c r="E9" s="22" t="s">
        <v>0</v>
      </c>
      <c r="F9" s="22" t="s">
        <v>1</v>
      </c>
      <c r="G9" s="22" t="s">
        <v>0</v>
      </c>
      <c r="H9" s="22" t="s">
        <v>1</v>
      </c>
      <c r="I9" s="22" t="s">
        <v>0</v>
      </c>
      <c r="J9" s="22" t="s">
        <v>1</v>
      </c>
      <c r="K9" s="22" t="s">
        <v>0</v>
      </c>
      <c r="L9" s="22" t="s">
        <v>1</v>
      </c>
      <c r="M9" s="22" t="s">
        <v>0</v>
      </c>
      <c r="N9" s="22" t="s">
        <v>1</v>
      </c>
      <c r="O9" s="22" t="s">
        <v>0</v>
      </c>
      <c r="P9" s="22" t="s">
        <v>1</v>
      </c>
      <c r="Q9" s="22" t="s">
        <v>0</v>
      </c>
      <c r="R9" s="22" t="s">
        <v>1</v>
      </c>
      <c r="S9" s="22" t="s">
        <v>0</v>
      </c>
      <c r="T9" s="22" t="s">
        <v>1</v>
      </c>
    </row>
    <row r="10" spans="1:20" x14ac:dyDescent="0.25">
      <c r="A10" s="2">
        <v>1422.396</v>
      </c>
      <c r="B10" s="3">
        <v>0.01</v>
      </c>
      <c r="C10" s="20">
        <v>1791.377</v>
      </c>
      <c r="D10" s="21">
        <v>1.0200000000000001E-2</v>
      </c>
      <c r="E10" s="20">
        <v>2253.835</v>
      </c>
      <c r="F10" s="21">
        <v>1.01E-2</v>
      </c>
      <c r="G10" s="20">
        <v>2799.797</v>
      </c>
      <c r="H10" s="21">
        <v>1.01E-2</v>
      </c>
      <c r="I10" s="20">
        <f>407.8356*10</f>
        <v>4078.3559999999998</v>
      </c>
      <c r="J10" s="21">
        <v>0.01</v>
      </c>
      <c r="K10" s="20">
        <f>10*555.6466</f>
        <v>5556.4660000000003</v>
      </c>
      <c r="L10" s="21">
        <v>1.01E-2</v>
      </c>
      <c r="M10" s="20">
        <f>10*686.6981</f>
        <v>6866.9809999999998</v>
      </c>
      <c r="N10" s="21">
        <v>1.0200000000000001E-2</v>
      </c>
      <c r="O10" s="20">
        <f>10*863.7286</f>
        <v>8637.2860000000001</v>
      </c>
      <c r="P10" s="21">
        <v>1.01E-2</v>
      </c>
      <c r="Q10" s="20">
        <f>10*1023.6008</f>
        <v>10236.008</v>
      </c>
      <c r="R10" s="21">
        <v>1.01E-2</v>
      </c>
      <c r="S10" s="20">
        <f>10*1184.5158</f>
        <v>11845.157999999999</v>
      </c>
      <c r="T10" s="21">
        <v>0.01</v>
      </c>
    </row>
    <row r="11" spans="1:20" x14ac:dyDescent="0.25">
      <c r="A11" s="4">
        <v>1350.2660000000001</v>
      </c>
      <c r="B11" s="3">
        <v>1.06E-2</v>
      </c>
      <c r="C11" s="4">
        <v>1421.761</v>
      </c>
      <c r="D11" s="3">
        <v>1.3299999999999999E-2</v>
      </c>
      <c r="E11" s="4">
        <v>1974.7070000000001</v>
      </c>
      <c r="F11" s="3">
        <v>1.1900000000000001E-2</v>
      </c>
      <c r="G11" s="4">
        <v>2515.145</v>
      </c>
      <c r="H11" s="3">
        <v>1.14E-2</v>
      </c>
      <c r="I11" s="4">
        <f>358.4398*10</f>
        <v>3584.3980000000001</v>
      </c>
      <c r="J11" s="3">
        <v>1.17E-2</v>
      </c>
      <c r="K11" s="4">
        <f>10*496.5927</f>
        <v>4965.9269999999997</v>
      </c>
      <c r="L11" s="3">
        <v>1.15E-2</v>
      </c>
      <c r="M11" s="4">
        <f>10*614.3693</f>
        <v>6143.6929999999993</v>
      </c>
      <c r="N11" s="3">
        <v>1.1599999999999999E-2</v>
      </c>
      <c r="O11" s="4">
        <f>10*792.273</f>
        <v>7922.7300000000005</v>
      </c>
      <c r="P11" s="3">
        <v>1.11E-2</v>
      </c>
      <c r="Q11" s="4">
        <f>10*935.0288</f>
        <v>9350.2880000000005</v>
      </c>
      <c r="R11" s="3">
        <v>1.12E-2</v>
      </c>
      <c r="S11" s="4">
        <f>10*1070.7881</f>
        <v>10707.880999999999</v>
      </c>
      <c r="T11" s="3">
        <v>1.1299999999999999E-2</v>
      </c>
    </row>
    <row r="12" spans="1:20" x14ac:dyDescent="0.25">
      <c r="A12" s="4">
        <v>1269.8420000000001</v>
      </c>
      <c r="B12" s="3">
        <v>1.1299999999999999E-2</v>
      </c>
      <c r="C12" s="4">
        <v>1198.634</v>
      </c>
      <c r="D12" s="3">
        <v>1.61E-2</v>
      </c>
      <c r="E12" s="4">
        <v>1715.799</v>
      </c>
      <c r="F12" s="3">
        <v>1.41E-2</v>
      </c>
      <c r="G12" s="4">
        <v>2212.88</v>
      </c>
      <c r="H12" s="3">
        <v>1.3100000000000001E-2</v>
      </c>
      <c r="I12" s="4">
        <f>317.0008*10</f>
        <v>3170.0080000000003</v>
      </c>
      <c r="J12" s="3">
        <v>1.34E-2</v>
      </c>
      <c r="K12" s="4">
        <f>10*442.8925</f>
        <v>4428.9250000000002</v>
      </c>
      <c r="L12" s="3">
        <v>1.32E-2</v>
      </c>
      <c r="M12" s="4">
        <f>10*531.1115</f>
        <v>5311.1149999999998</v>
      </c>
      <c r="N12" s="3">
        <v>1.37E-2</v>
      </c>
      <c r="O12" s="4">
        <f>10*727.4854</f>
        <v>7274.8540000000003</v>
      </c>
      <c r="P12" s="3">
        <v>1.24E-2</v>
      </c>
      <c r="Q12" s="4">
        <f>10*861.2587</f>
        <v>8612.5869999999995</v>
      </c>
      <c r="R12" s="3">
        <v>1.24E-2</v>
      </c>
      <c r="S12" s="4">
        <f>10*964.9624</f>
        <v>9649.6239999999998</v>
      </c>
      <c r="T12" s="3">
        <v>1.2699999999999999E-2</v>
      </c>
    </row>
    <row r="13" spans="1:20" x14ac:dyDescent="0.25">
      <c r="A13" s="4">
        <v>1269.8420000000001</v>
      </c>
      <c r="B13" s="3">
        <v>1.1299999999999999E-2</v>
      </c>
      <c r="C13" s="4">
        <v>1117.886</v>
      </c>
      <c r="D13" s="3">
        <v>1.77E-2</v>
      </c>
      <c r="E13" s="4">
        <v>1492.3889999999999</v>
      </c>
      <c r="F13" s="3">
        <v>1.6500000000000001E-2</v>
      </c>
      <c r="G13" s="4">
        <v>1940.8710000000001</v>
      </c>
      <c r="H13" s="3">
        <v>1.52E-2</v>
      </c>
      <c r="I13" s="4">
        <f>276.2956*10</f>
        <v>2762.9559999999997</v>
      </c>
      <c r="J13" s="3">
        <v>1.5900000000000001E-2</v>
      </c>
      <c r="K13" s="4">
        <f>10*392.5413</f>
        <v>3925.4129999999996</v>
      </c>
      <c r="L13" s="3">
        <v>1.52E-2</v>
      </c>
      <c r="M13" s="4">
        <f>10*461.5307</f>
        <v>4615.3070000000007</v>
      </c>
      <c r="N13" s="3">
        <v>1.6199999999999999E-2</v>
      </c>
      <c r="O13" s="4">
        <f>10*652.201</f>
        <v>6522.01</v>
      </c>
      <c r="P13" s="3">
        <v>1.4E-2</v>
      </c>
      <c r="Q13" s="4">
        <f>10*781.8389</f>
        <v>7818.3889999999992</v>
      </c>
      <c r="R13" s="3">
        <v>1.38E-2</v>
      </c>
      <c r="S13" s="4">
        <f>10*861.4893</f>
        <v>8614.893</v>
      </c>
      <c r="T13" s="3">
        <v>1.46E-2</v>
      </c>
    </row>
    <row r="14" spans="1:20" x14ac:dyDescent="0.25">
      <c r="A14" s="4">
        <v>1183.0740000000001</v>
      </c>
      <c r="B14" s="3">
        <v>1.21E-2</v>
      </c>
      <c r="C14" s="4">
        <v>1007.372</v>
      </c>
      <c r="D14" s="3">
        <v>2.0199999999999999E-2</v>
      </c>
      <c r="E14" s="4">
        <v>1364.5820000000001</v>
      </c>
      <c r="F14" s="3">
        <v>1.84E-2</v>
      </c>
      <c r="G14" s="4">
        <v>1712.962</v>
      </c>
      <c r="H14" s="3">
        <v>1.77E-2</v>
      </c>
      <c r="I14" s="4">
        <f>251.5816*10</f>
        <v>2515.8160000000003</v>
      </c>
      <c r="J14" s="3">
        <v>1.78E-2</v>
      </c>
      <c r="K14" s="4">
        <f>10*357.4539</f>
        <v>3574.5389999999998</v>
      </c>
      <c r="L14" s="3">
        <v>1.7000000000000001E-2</v>
      </c>
      <c r="M14" s="4">
        <f>10*414.209</f>
        <v>4142.09</v>
      </c>
      <c r="N14" s="3">
        <v>1.8499999999999999E-2</v>
      </c>
      <c r="O14" s="4">
        <f>10*591.4375</f>
        <v>5914.375</v>
      </c>
      <c r="P14" s="3">
        <v>1.5699999999999999E-2</v>
      </c>
      <c r="Q14" s="4">
        <f>10*711.2209</f>
        <v>7112.2090000000007</v>
      </c>
      <c r="R14" s="3">
        <v>1.55E-2</v>
      </c>
      <c r="S14" s="4">
        <f>10*773.1238</f>
        <v>7731.2379999999994</v>
      </c>
      <c r="T14" s="3">
        <v>1.67E-2</v>
      </c>
    </row>
    <row r="15" spans="1:20" x14ac:dyDescent="0.25">
      <c r="A15" s="4">
        <v>1098.799</v>
      </c>
      <c r="B15" s="3">
        <v>1.3100000000000001E-2</v>
      </c>
      <c r="C15" s="4">
        <v>899.32</v>
      </c>
      <c r="D15" s="3">
        <v>2.3400000000000001E-2</v>
      </c>
      <c r="E15" s="4">
        <v>1249.02</v>
      </c>
      <c r="F15" s="3">
        <v>2.0400000000000001E-2</v>
      </c>
      <c r="G15" s="4">
        <v>1519.7049999999999</v>
      </c>
      <c r="H15" s="3">
        <v>2.0400000000000001E-2</v>
      </c>
      <c r="I15" s="4">
        <f>217.0056*10</f>
        <v>2170.056</v>
      </c>
      <c r="J15" s="3">
        <v>2.1499999999999998E-2</v>
      </c>
      <c r="K15" s="4">
        <f>10*316.816</f>
        <v>3168.16</v>
      </c>
      <c r="L15" s="3">
        <v>1.9699999999999999E-2</v>
      </c>
      <c r="M15" s="4">
        <f>10*369.0424</f>
        <v>3690.424</v>
      </c>
      <c r="N15" s="3">
        <v>2.1399999999999999E-2</v>
      </c>
      <c r="O15" s="4">
        <f>10*536.3351</f>
        <v>5363.3510000000006</v>
      </c>
      <c r="P15" s="3">
        <v>1.7600000000000001E-2</v>
      </c>
      <c r="Q15" s="4">
        <f>10*656.4728</f>
        <v>6564.7280000000001</v>
      </c>
      <c r="R15" s="3">
        <v>1.7100000000000001E-2</v>
      </c>
      <c r="S15" s="4">
        <f>10*701.0799</f>
        <v>7010.7989999999991</v>
      </c>
      <c r="T15" s="3">
        <v>1.89E-2</v>
      </c>
    </row>
    <row r="16" spans="1:20" x14ac:dyDescent="0.25">
      <c r="A16" s="4">
        <v>1045.252</v>
      </c>
      <c r="B16" s="3">
        <v>1.4E-2</v>
      </c>
      <c r="C16" s="4">
        <v>788.774</v>
      </c>
      <c r="D16" s="3">
        <v>2.7799999999999998E-2</v>
      </c>
      <c r="E16" s="4">
        <v>1123.1890000000001</v>
      </c>
      <c r="F16" s="3">
        <v>2.3400000000000001E-2</v>
      </c>
      <c r="G16" s="4">
        <v>1402.6510000000001</v>
      </c>
      <c r="H16" s="3">
        <v>2.2599999999999999E-2</v>
      </c>
      <c r="I16" s="4">
        <f>192.518*10</f>
        <v>1925.18</v>
      </c>
      <c r="J16" s="3">
        <v>2.5000000000000001E-2</v>
      </c>
      <c r="K16" s="4">
        <f>10*278.4706</f>
        <v>2784.7060000000001</v>
      </c>
      <c r="L16" s="3">
        <v>2.3199999999999998E-2</v>
      </c>
      <c r="M16" s="4">
        <f>10*325.7371</f>
        <v>3257.3710000000001</v>
      </c>
      <c r="N16" s="3">
        <v>2.4899999999999999E-2</v>
      </c>
      <c r="O16" s="4">
        <f>10*489.412</f>
        <v>4894.12</v>
      </c>
      <c r="P16" s="3">
        <v>1.9699999999999999E-2</v>
      </c>
      <c r="Q16" s="4">
        <f>10*597.1782</f>
        <v>5971.7819999999992</v>
      </c>
      <c r="R16" s="3">
        <v>1.9099999999999999E-2</v>
      </c>
      <c r="S16" s="4">
        <f>10*606.6652</f>
        <v>6066.652</v>
      </c>
      <c r="T16" s="3">
        <v>2.2700000000000001E-2</v>
      </c>
    </row>
    <row r="17" spans="1:256" x14ac:dyDescent="0.25">
      <c r="A17" s="4">
        <v>988.12400000000002</v>
      </c>
      <c r="B17" s="3">
        <v>1.49E-2</v>
      </c>
      <c r="C17" s="4">
        <v>715.25</v>
      </c>
      <c r="D17" s="3">
        <v>3.1699999999999999E-2</v>
      </c>
      <c r="E17" s="4">
        <v>1037.748</v>
      </c>
      <c r="F17" s="3">
        <v>2.5899999999999999E-2</v>
      </c>
      <c r="G17" s="4">
        <v>1290.576</v>
      </c>
      <c r="H17" s="3">
        <v>2.5100000000000001E-2</v>
      </c>
      <c r="I17" s="4">
        <f>170.616*10</f>
        <v>1706.16</v>
      </c>
      <c r="J17" s="3">
        <v>2.98E-2</v>
      </c>
      <c r="K17" s="4">
        <f>10*238.7303</f>
        <v>2387.3029999999999</v>
      </c>
      <c r="L17" s="3">
        <v>2.8500000000000001E-2</v>
      </c>
      <c r="M17" s="4">
        <f>10*295.7027</f>
        <v>2957.027</v>
      </c>
      <c r="N17" s="3">
        <v>2.8500000000000001E-2</v>
      </c>
      <c r="O17" s="4">
        <f>10*441.9719</f>
        <v>4419.7190000000001</v>
      </c>
      <c r="P17" s="3">
        <v>2.24E-2</v>
      </c>
      <c r="Q17" s="4">
        <f>10*549.4913</f>
        <v>5494.9130000000005</v>
      </c>
      <c r="R17" s="3">
        <v>2.1299999999999999E-2</v>
      </c>
      <c r="S17" s="4">
        <f>10*534.8911</f>
        <v>5348.9110000000001</v>
      </c>
      <c r="T17" s="3">
        <v>2.6800000000000001E-2</v>
      </c>
    </row>
    <row r="18" spans="1:256" x14ac:dyDescent="0.25">
      <c r="A18" s="4">
        <v>932.17600000000004</v>
      </c>
      <c r="B18" s="3">
        <v>1.5800000000000002E-2</v>
      </c>
      <c r="C18" s="4">
        <v>626.02599999999995</v>
      </c>
      <c r="D18" s="3">
        <v>3.7900000000000003E-2</v>
      </c>
      <c r="E18" s="4">
        <v>941.00599999999997</v>
      </c>
      <c r="F18" s="3">
        <v>2.9399999999999999E-2</v>
      </c>
      <c r="G18" s="4">
        <v>1141.403</v>
      </c>
      <c r="H18" s="3">
        <v>2.9499999999999998E-2</v>
      </c>
      <c r="I18" s="4">
        <f>153.4259*10</f>
        <v>1534.259</v>
      </c>
      <c r="J18" s="3">
        <v>3.49E-2</v>
      </c>
      <c r="K18" s="4">
        <f>10*218.9804</f>
        <v>2189.8040000000001</v>
      </c>
      <c r="L18" s="3">
        <v>3.1899999999999998E-2</v>
      </c>
      <c r="M18" s="4">
        <f>10*270.9624</f>
        <v>2709.6239999999998</v>
      </c>
      <c r="N18" s="3">
        <v>3.1899999999999998E-2</v>
      </c>
      <c r="O18" s="4">
        <f>10*402.0477</f>
        <v>4020.4770000000003</v>
      </c>
      <c r="P18" s="3">
        <v>2.52E-2</v>
      </c>
      <c r="Q18" s="4">
        <f>10*496.7494</f>
        <v>4967.4939999999997</v>
      </c>
      <c r="R18" s="3">
        <v>2.4E-2</v>
      </c>
      <c r="S18" s="4">
        <f>10*473.0832</f>
        <v>4730.8319999999994</v>
      </c>
      <c r="T18" s="3">
        <v>3.1399999999999997E-2</v>
      </c>
    </row>
    <row r="19" spans="1:256" x14ac:dyDescent="0.25">
      <c r="A19" s="4">
        <v>877.56700000000001</v>
      </c>
      <c r="B19" s="3">
        <v>1.6799999999999999E-2</v>
      </c>
      <c r="C19" s="4">
        <v>557.13499999999999</v>
      </c>
      <c r="D19" s="3">
        <v>4.4900000000000002E-2</v>
      </c>
      <c r="E19" s="4">
        <v>849.73699999999997</v>
      </c>
      <c r="F19" s="3">
        <v>3.3799999999999997E-2</v>
      </c>
      <c r="G19" s="4">
        <v>1039.327</v>
      </c>
      <c r="H19" s="3">
        <v>3.4000000000000002E-2</v>
      </c>
      <c r="I19" s="4">
        <f>138.9769*10</f>
        <v>1389.769</v>
      </c>
      <c r="J19" s="3">
        <v>4.07E-2</v>
      </c>
      <c r="K19" s="4">
        <f>10*202.7539</f>
        <v>2027.5389999999998</v>
      </c>
      <c r="L19" s="3">
        <v>3.5200000000000002E-2</v>
      </c>
      <c r="M19" s="4">
        <f>10*247.776</f>
        <v>2477.7600000000002</v>
      </c>
      <c r="N19" s="3">
        <v>3.6400000000000002E-2</v>
      </c>
      <c r="O19" s="4">
        <f>10*364.5902</f>
        <v>3645.902</v>
      </c>
      <c r="P19" s="3">
        <v>2.87E-2</v>
      </c>
      <c r="Q19" s="4">
        <f>10*461.8619</f>
        <v>4618.6189999999997</v>
      </c>
      <c r="R19" s="3">
        <v>2.6499999999999999E-2</v>
      </c>
      <c r="S19" s="4">
        <f>10*422.7941</f>
        <v>4227.9409999999998</v>
      </c>
      <c r="T19" s="3">
        <v>3.6700000000000003E-2</v>
      </c>
    </row>
    <row r="20" spans="1:256" x14ac:dyDescent="0.25">
      <c r="A20" s="4">
        <v>833.06500000000005</v>
      </c>
      <c r="B20" s="3">
        <v>1.7999999999999999E-2</v>
      </c>
      <c r="C20" s="4">
        <v>497.375</v>
      </c>
      <c r="D20" s="3">
        <v>5.3100000000000001E-2</v>
      </c>
      <c r="E20" s="4">
        <v>771.32500000000005</v>
      </c>
      <c r="F20" s="3">
        <v>3.8899999999999997E-2</v>
      </c>
      <c r="G20" s="4">
        <v>920.15200000000004</v>
      </c>
      <c r="H20" s="3">
        <v>3.9800000000000002E-2</v>
      </c>
      <c r="I20" s="4">
        <f>126.1511*10</f>
        <v>1261.511</v>
      </c>
      <c r="J20" s="3">
        <v>4.7100000000000003E-2</v>
      </c>
      <c r="K20" s="4">
        <f>10*185.4007</f>
        <v>1854.0070000000001</v>
      </c>
      <c r="L20" s="3">
        <v>0.04</v>
      </c>
      <c r="M20" s="4">
        <f>10*223.2982</f>
        <v>2232.982</v>
      </c>
      <c r="N20" s="3">
        <v>4.2099999999999999E-2</v>
      </c>
      <c r="O20" s="4">
        <f>10*329.5921</f>
        <v>3295.9210000000003</v>
      </c>
      <c r="P20" s="3">
        <v>3.2899999999999999E-2</v>
      </c>
      <c r="Q20" s="4">
        <f>10*424.0972</f>
        <v>4240.9719999999998</v>
      </c>
      <c r="R20" s="3">
        <v>2.98E-2</v>
      </c>
      <c r="S20" s="4">
        <f>10*379.0322</f>
        <v>3790.3220000000001</v>
      </c>
      <c r="T20" s="3">
        <v>4.3099999999999999E-2</v>
      </c>
    </row>
    <row r="21" spans="1:256" x14ac:dyDescent="0.25">
      <c r="A21" s="4">
        <v>767.30700000000002</v>
      </c>
      <c r="B21" s="3">
        <v>1.9699999999999999E-2</v>
      </c>
      <c r="C21" s="4">
        <v>446.34300000000002</v>
      </c>
      <c r="D21" s="3">
        <v>6.3E-2</v>
      </c>
      <c r="E21" s="4">
        <v>681.45100000000002</v>
      </c>
      <c r="F21" s="3">
        <v>4.7E-2</v>
      </c>
      <c r="G21" s="4">
        <v>829.18700000000001</v>
      </c>
      <c r="H21" s="3">
        <v>4.7100000000000003E-2</v>
      </c>
      <c r="I21" s="4">
        <f>114.9868*10</f>
        <v>1149.8679999999999</v>
      </c>
      <c r="J21" s="3">
        <v>5.3999999999999999E-2</v>
      </c>
      <c r="K21" s="4">
        <f>10*167.2552</f>
        <v>1672.5520000000001</v>
      </c>
      <c r="L21" s="3">
        <v>4.6399999999999997E-2</v>
      </c>
      <c r="M21" s="4">
        <f>10*201.8674</f>
        <v>2018.674</v>
      </c>
      <c r="N21" s="3">
        <v>4.8599999999999997E-2</v>
      </c>
      <c r="O21" s="4">
        <f>10*300.7567</f>
        <v>3007.567</v>
      </c>
      <c r="P21" s="3">
        <v>3.7199999999999997E-2</v>
      </c>
      <c r="Q21" s="4">
        <f>10*394.7226</f>
        <v>3947.2260000000001</v>
      </c>
      <c r="R21" s="3">
        <v>3.2899999999999999E-2</v>
      </c>
      <c r="S21" s="4">
        <f>10*344.7866</f>
        <v>3447.866</v>
      </c>
      <c r="T21" s="3">
        <v>4.9599999999999998E-2</v>
      </c>
    </row>
    <row r="22" spans="1:256" x14ac:dyDescent="0.25">
      <c r="A22" s="4">
        <v>714.87699999999995</v>
      </c>
      <c r="B22" s="3">
        <v>2.1600000000000001E-2</v>
      </c>
      <c r="C22" s="4">
        <v>400.96300000000002</v>
      </c>
      <c r="D22" s="3">
        <v>7.4800000000000005E-2</v>
      </c>
      <c r="E22" s="4">
        <v>610.25300000000004</v>
      </c>
      <c r="F22" s="3">
        <v>5.6000000000000001E-2</v>
      </c>
      <c r="G22" s="4">
        <v>747.21400000000006</v>
      </c>
      <c r="H22" s="3">
        <v>5.57E-2</v>
      </c>
      <c r="I22" s="4">
        <f>103.833*10</f>
        <v>1038.33</v>
      </c>
      <c r="J22" s="3">
        <v>6.3200000000000006E-2</v>
      </c>
      <c r="K22" s="4">
        <f>10*151.9885</f>
        <v>1519.8849999999998</v>
      </c>
      <c r="L22" s="3">
        <v>5.3699999999999998E-2</v>
      </c>
      <c r="M22" s="4">
        <f>10*178.9222</f>
        <v>1789.222</v>
      </c>
      <c r="N22" s="3">
        <v>5.7700000000000001E-2</v>
      </c>
      <c r="O22" s="4">
        <f>10*276.7377</f>
        <v>2767.3770000000004</v>
      </c>
      <c r="P22" s="3">
        <v>4.2200000000000001E-2</v>
      </c>
      <c r="Q22" s="4">
        <f>10*362.8249</f>
        <v>3628.2490000000003</v>
      </c>
      <c r="R22" s="3">
        <v>3.7100000000000001E-2</v>
      </c>
      <c r="S22" s="4">
        <f>10*309.099</f>
        <v>3090.99</v>
      </c>
      <c r="T22" s="3">
        <v>5.8000000000000003E-2</v>
      </c>
    </row>
    <row r="23" spans="1:256" x14ac:dyDescent="0.25">
      <c r="A23" s="4">
        <v>648.923</v>
      </c>
      <c r="B23" s="3">
        <v>2.4199999999999999E-2</v>
      </c>
      <c r="C23" s="4">
        <v>351.31099999999998</v>
      </c>
      <c r="D23" s="3">
        <v>9.2899999999999996E-2</v>
      </c>
      <c r="E23" s="4">
        <v>552.78800000000001</v>
      </c>
      <c r="F23" s="3">
        <v>6.5699999999999995E-2</v>
      </c>
      <c r="G23" s="4">
        <v>672.64400000000001</v>
      </c>
      <c r="H23" s="3">
        <v>6.54E-2</v>
      </c>
      <c r="I23" s="4">
        <f>93.9566*10</f>
        <v>939.56599999999992</v>
      </c>
      <c r="J23" s="3">
        <v>7.4399999999999994E-2</v>
      </c>
      <c r="K23" s="4">
        <f>10*135.4119</f>
        <v>1354.1190000000001</v>
      </c>
      <c r="L23" s="3">
        <v>6.3899999999999998E-2</v>
      </c>
      <c r="M23" s="4">
        <f>10*161.0788</f>
        <v>1610.788</v>
      </c>
      <c r="N23" s="3">
        <v>6.83E-2</v>
      </c>
      <c r="O23" s="4">
        <f>10*247.5836</f>
        <v>2475.8359999999998</v>
      </c>
      <c r="P23" s="3">
        <v>4.9599999999999998E-2</v>
      </c>
      <c r="Q23" s="4">
        <f>10*339.1024</f>
        <v>3391.0239999999999</v>
      </c>
      <c r="R23" s="3">
        <v>4.07E-2</v>
      </c>
      <c r="S23" s="4">
        <f>10*280.0039</f>
        <v>2800.0389999999998</v>
      </c>
      <c r="T23" s="3">
        <v>6.6600000000000006E-2</v>
      </c>
    </row>
    <row r="24" spans="1:256" x14ac:dyDescent="0.25">
      <c r="A24" s="4">
        <v>609.63699999999994</v>
      </c>
      <c r="B24" s="3">
        <v>2.63E-2</v>
      </c>
      <c r="C24" s="4">
        <v>318.89600000000002</v>
      </c>
      <c r="D24" s="3">
        <v>0.10879999999999999</v>
      </c>
      <c r="E24" s="4">
        <v>493.48899999999998</v>
      </c>
      <c r="F24" s="3">
        <v>7.8899999999999998E-2</v>
      </c>
      <c r="G24" s="4">
        <v>599.87</v>
      </c>
      <c r="H24" s="3">
        <v>7.7899999999999997E-2</v>
      </c>
      <c r="I24" s="4">
        <f>85.1081*10</f>
        <v>851.0809999999999</v>
      </c>
      <c r="J24" s="3">
        <v>8.7099999999999997E-2</v>
      </c>
      <c r="K24" s="4">
        <f>10*122.6683</f>
        <v>1226.683</v>
      </c>
      <c r="L24" s="3">
        <v>7.4099999999999999E-2</v>
      </c>
      <c r="M24" s="4">
        <f>10*142.7698</f>
        <v>1427.6980000000001</v>
      </c>
      <c r="N24" s="3">
        <v>8.1900000000000001E-2</v>
      </c>
      <c r="O24" s="4">
        <f>10*222.6561</f>
        <v>2226.5610000000001</v>
      </c>
      <c r="P24" s="3">
        <v>5.74E-2</v>
      </c>
      <c r="Q24" s="4">
        <f>10*312.3486</f>
        <v>3123.4859999999999</v>
      </c>
      <c r="R24" s="3">
        <v>4.5999999999999999E-2</v>
      </c>
      <c r="S24" s="4">
        <f>10*253.3837</f>
        <v>2533.837</v>
      </c>
      <c r="T24" s="3">
        <v>7.9100000000000004E-2</v>
      </c>
    </row>
    <row r="25" spans="1:256" x14ac:dyDescent="0.25">
      <c r="A25" s="4">
        <v>556.85900000000004</v>
      </c>
      <c r="B25" s="3">
        <v>2.9700000000000001E-2</v>
      </c>
      <c r="C25" s="4">
        <v>286.47399999999999</v>
      </c>
      <c r="D25" s="3">
        <v>0.12959999999999999</v>
      </c>
      <c r="E25" s="4">
        <v>449.82</v>
      </c>
      <c r="F25" s="3">
        <v>9.2100000000000001E-2</v>
      </c>
      <c r="G25" s="4">
        <v>538.88199999999995</v>
      </c>
      <c r="H25" s="3">
        <v>9.2799999999999994E-2</v>
      </c>
      <c r="I25" s="4">
        <f>76.7726*10</f>
        <v>767.726</v>
      </c>
      <c r="J25" s="3">
        <v>0.1024</v>
      </c>
      <c r="K25" s="4">
        <f>10*112.0528</f>
        <v>1120.528</v>
      </c>
      <c r="L25" s="3">
        <v>8.5500000000000007E-2</v>
      </c>
      <c r="M25" s="4">
        <f>10*128.1313</f>
        <v>1281.3130000000001</v>
      </c>
      <c r="N25" s="3">
        <v>9.7900000000000001E-2</v>
      </c>
      <c r="O25" s="4">
        <f>10*199.6143</f>
        <v>1996.1429999999998</v>
      </c>
      <c r="P25" s="3">
        <v>6.83E-2</v>
      </c>
      <c r="Q25" s="4">
        <f>10*287.4064</f>
        <v>2874.0640000000003</v>
      </c>
      <c r="R25" s="3">
        <v>5.2400000000000002E-2</v>
      </c>
      <c r="S25" s="4">
        <f>10*229.0558</f>
        <v>2290.558</v>
      </c>
      <c r="T25" s="3">
        <v>9.2399999999999996E-2</v>
      </c>
    </row>
    <row r="26" spans="1:256" x14ac:dyDescent="0.25">
      <c r="A26" s="4">
        <v>504.43200000000002</v>
      </c>
      <c r="B26" s="3">
        <v>3.4200000000000001E-2</v>
      </c>
      <c r="C26" s="4">
        <v>263.036</v>
      </c>
      <c r="D26" s="3">
        <v>0.15329999999999999</v>
      </c>
      <c r="E26" s="4">
        <v>405.76799999999997</v>
      </c>
      <c r="F26" s="3">
        <v>0.10879999999999999</v>
      </c>
      <c r="G26" s="4">
        <v>485.10300000000001</v>
      </c>
      <c r="H26" s="3">
        <v>0.1106</v>
      </c>
      <c r="I26" s="4">
        <f>68.6076*10</f>
        <v>686.07600000000002</v>
      </c>
      <c r="J26" s="3">
        <v>0.1239</v>
      </c>
      <c r="K26" s="4">
        <f>10*102.3559</f>
        <v>1023.5590000000001</v>
      </c>
      <c r="L26" s="3">
        <v>9.9699999999999997E-2</v>
      </c>
      <c r="M26" s="4">
        <f>10*117.778</f>
        <v>1177.78</v>
      </c>
      <c r="N26" s="3">
        <v>0.112</v>
      </c>
      <c r="O26" s="4">
        <f>10*183.1004</f>
        <v>1831.0040000000001</v>
      </c>
      <c r="P26" s="3">
        <v>7.7799999999999994E-2</v>
      </c>
      <c r="Q26" s="4">
        <f>10*263.9063</f>
        <v>2639.0630000000001</v>
      </c>
      <c r="R26" s="3">
        <v>5.9200000000000003E-2</v>
      </c>
      <c r="S26" s="4">
        <f>10*207.7112</f>
        <v>2077.1120000000001</v>
      </c>
      <c r="T26" s="3">
        <v>0.10589999999999999</v>
      </c>
    </row>
    <row r="27" spans="1:256" x14ac:dyDescent="0.25">
      <c r="A27" s="4">
        <v>468.49900000000002</v>
      </c>
      <c r="B27" s="3">
        <v>3.7999999999999999E-2</v>
      </c>
      <c r="C27" s="4">
        <v>238.02099999999999</v>
      </c>
      <c r="D27" s="3">
        <v>0.1883</v>
      </c>
      <c r="E27" s="4">
        <v>365.27</v>
      </c>
      <c r="F27" s="3">
        <v>0.1285</v>
      </c>
      <c r="G27" s="4">
        <v>440.80200000000002</v>
      </c>
      <c r="H27" s="3">
        <v>0.12970000000000001</v>
      </c>
      <c r="I27" s="4">
        <f>61.0561*10</f>
        <v>610.56100000000004</v>
      </c>
      <c r="J27" s="3">
        <v>0.15110000000000001</v>
      </c>
      <c r="K27" s="4">
        <f>10*90.9083</f>
        <v>909.08299999999997</v>
      </c>
      <c r="L27" s="3">
        <v>0.121</v>
      </c>
      <c r="M27" s="4">
        <f>10*109.0524</f>
        <v>1090.5240000000001</v>
      </c>
      <c r="N27" s="3">
        <v>0.12870000000000001</v>
      </c>
      <c r="O27" s="4">
        <f>10*167.9527</f>
        <v>1679.527</v>
      </c>
      <c r="P27" s="3">
        <v>8.9099999999999999E-2</v>
      </c>
      <c r="Q27" s="4">
        <f>10*239.5705</f>
        <v>2395.7049999999999</v>
      </c>
      <c r="R27" s="3">
        <v>6.8199999999999997E-2</v>
      </c>
      <c r="S27" s="4">
        <f>10*191.7172</f>
        <v>1917.172</v>
      </c>
      <c r="T27" s="3">
        <v>0.1222</v>
      </c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x14ac:dyDescent="0.25">
      <c r="A28" s="4">
        <v>440.13600000000002</v>
      </c>
      <c r="B28" s="3">
        <v>4.19E-2</v>
      </c>
      <c r="C28" s="4">
        <v>216.96100000000001</v>
      </c>
      <c r="D28" s="3">
        <v>0.2258</v>
      </c>
      <c r="E28" s="4">
        <v>332.947</v>
      </c>
      <c r="F28" s="3">
        <v>0.15140000000000001</v>
      </c>
      <c r="G28" s="4">
        <v>401.38099999999997</v>
      </c>
      <c r="H28" s="3">
        <v>0.15490000000000001</v>
      </c>
      <c r="I28" s="4">
        <f>55.4214*10</f>
        <v>554.21399999999994</v>
      </c>
      <c r="J28" s="3">
        <v>0.18010000000000001</v>
      </c>
      <c r="K28" s="4">
        <f>10*84.611</f>
        <v>846.11</v>
      </c>
      <c r="L28" s="3">
        <v>0.13769999999999999</v>
      </c>
      <c r="M28" s="4">
        <f>10*98.5863</f>
        <v>985.86299999999994</v>
      </c>
      <c r="N28" s="3">
        <v>0.153</v>
      </c>
      <c r="O28" s="4">
        <f>10*153.578</f>
        <v>1535.78</v>
      </c>
      <c r="P28" s="3">
        <v>0.1027</v>
      </c>
      <c r="Q28" s="4">
        <f>10*217.7052</f>
        <v>2177.0519999999997</v>
      </c>
      <c r="R28" s="3">
        <v>7.8700000000000006E-2</v>
      </c>
      <c r="S28" s="4">
        <f>10*174.2142</f>
        <v>1742.1420000000001</v>
      </c>
      <c r="T28" s="3">
        <v>0.14269999999999999</v>
      </c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x14ac:dyDescent="0.25">
      <c r="A29" s="4">
        <v>400.36200000000002</v>
      </c>
      <c r="B29" s="3">
        <v>4.82E-2</v>
      </c>
      <c r="C29" s="4">
        <v>198.589</v>
      </c>
      <c r="D29" s="3">
        <v>0.27150000000000002</v>
      </c>
      <c r="E29" s="4">
        <v>304.75099999999998</v>
      </c>
      <c r="F29" s="3">
        <v>0.1789</v>
      </c>
      <c r="G29" s="4">
        <v>363.96699999999998</v>
      </c>
      <c r="H29" s="3">
        <v>0.18479999999999999</v>
      </c>
      <c r="I29" s="4">
        <f>50.2021*10</f>
        <v>502.02100000000002</v>
      </c>
      <c r="J29" s="3">
        <v>0.21679999999999999</v>
      </c>
      <c r="K29" s="4">
        <f>10*76.5686</f>
        <v>765.68600000000004</v>
      </c>
      <c r="L29" s="3">
        <v>0.16320000000000001</v>
      </c>
      <c r="M29" s="4">
        <f>10*91.3775</f>
        <v>913.77499999999998</v>
      </c>
      <c r="N29" s="3">
        <v>0.17949999999999999</v>
      </c>
      <c r="O29" s="4">
        <f>10*138.6912</f>
        <v>1386.912</v>
      </c>
      <c r="P29" s="3">
        <v>0.12130000000000001</v>
      </c>
      <c r="Q29" s="4">
        <f>10*200.3206</f>
        <v>2003.2060000000001</v>
      </c>
      <c r="R29" s="3">
        <v>8.9399999999999993E-2</v>
      </c>
      <c r="S29" s="4">
        <f>10*158.3091</f>
        <v>1583.0909999999999</v>
      </c>
      <c r="T29" s="3">
        <v>0.17019999999999999</v>
      </c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x14ac:dyDescent="0.25">
      <c r="A30" s="4">
        <v>380.05900000000003</v>
      </c>
      <c r="B30" s="3">
        <v>5.3100000000000001E-2</v>
      </c>
      <c r="C30" s="4">
        <v>184.82599999999999</v>
      </c>
      <c r="D30" s="3">
        <v>0.31819999999999998</v>
      </c>
      <c r="E30" s="4">
        <v>278.36200000000002</v>
      </c>
      <c r="F30" s="3">
        <v>0.2094</v>
      </c>
      <c r="G30" s="4">
        <v>332.45400000000001</v>
      </c>
      <c r="H30" s="3">
        <v>0.22109999999999999</v>
      </c>
      <c r="I30" s="4">
        <f>45.9502*10</f>
        <v>459.50200000000001</v>
      </c>
      <c r="J30" s="3">
        <v>0.25940000000000002</v>
      </c>
      <c r="K30" s="4">
        <f>10*70.3804</f>
        <v>703.80399999999997</v>
      </c>
      <c r="L30" s="3">
        <v>0.19270000000000001</v>
      </c>
      <c r="M30" s="4">
        <f>10*82.6936</f>
        <v>826.93600000000004</v>
      </c>
      <c r="N30" s="3">
        <v>0.21560000000000001</v>
      </c>
      <c r="O30" s="4">
        <f>10*127.0851</f>
        <v>1270.8509999999999</v>
      </c>
      <c r="P30" s="3">
        <v>0.14019999999999999</v>
      </c>
      <c r="Q30" s="4">
        <f>10*183.9412</f>
        <v>1839.412</v>
      </c>
      <c r="R30" s="3">
        <v>0.1021</v>
      </c>
      <c r="S30" s="4">
        <f>10*143.4076</f>
        <v>1434.076</v>
      </c>
      <c r="T30" s="3">
        <v>0.2026</v>
      </c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x14ac:dyDescent="0.25">
      <c r="A31" s="4">
        <v>356.67899999999997</v>
      </c>
      <c r="B31" s="3">
        <v>5.8700000000000002E-2</v>
      </c>
      <c r="C31" s="4">
        <v>174.178</v>
      </c>
      <c r="D31" s="3">
        <v>0.36170000000000002</v>
      </c>
      <c r="E31" s="4">
        <v>253.73</v>
      </c>
      <c r="F31" s="3">
        <v>0.25509999999999999</v>
      </c>
      <c r="G31" s="4">
        <v>308.44799999999998</v>
      </c>
      <c r="H31" s="3">
        <v>0.25879999999999997</v>
      </c>
      <c r="I31" s="4">
        <f>41.9709*10</f>
        <v>419.709</v>
      </c>
      <c r="J31" s="3">
        <v>0.31240000000000001</v>
      </c>
      <c r="K31" s="4">
        <f>10*65.0975</f>
        <v>650.97499999999991</v>
      </c>
      <c r="L31" s="3">
        <v>0.22509999999999999</v>
      </c>
      <c r="M31" s="4">
        <f>10*76.1701</f>
        <v>761.70100000000002</v>
      </c>
      <c r="N31" s="3">
        <v>0.25319999999999998</v>
      </c>
      <c r="O31" s="4">
        <f>10*116.9359</f>
        <v>1169.3589999999999</v>
      </c>
      <c r="P31" s="3">
        <v>0.16139999999999999</v>
      </c>
      <c r="Q31" s="4">
        <f>10*168.1997</f>
        <v>1681.9970000000001</v>
      </c>
      <c r="R31" s="3">
        <v>0.11940000000000001</v>
      </c>
      <c r="S31" s="4">
        <f>10*131.5413</f>
        <v>1315.413</v>
      </c>
      <c r="T31" s="3">
        <v>0.2409</v>
      </c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x14ac:dyDescent="0.25">
      <c r="A32" s="4">
        <v>326.14</v>
      </c>
      <c r="B32" s="3">
        <v>6.7900000000000002E-2</v>
      </c>
      <c r="C32" s="4">
        <v>160.595</v>
      </c>
      <c r="D32" s="3">
        <v>0.442</v>
      </c>
      <c r="E32" s="4">
        <v>232.96899999999999</v>
      </c>
      <c r="F32" s="3">
        <v>0.30199999999999999</v>
      </c>
      <c r="G32" s="4">
        <v>287.66899999999998</v>
      </c>
      <c r="H32" s="3">
        <v>0.30009999999999998</v>
      </c>
      <c r="I32" s="4">
        <f>38.5765*10</f>
        <v>385.76500000000004</v>
      </c>
      <c r="J32" s="3">
        <v>0.37609999999999999</v>
      </c>
      <c r="K32" s="4">
        <f>10*59.2787</f>
        <v>592.78700000000003</v>
      </c>
      <c r="L32" s="3">
        <v>0.27329999999999999</v>
      </c>
      <c r="M32" s="4">
        <f>10*70.1612</f>
        <v>701.61199999999997</v>
      </c>
      <c r="N32" s="3">
        <v>0.30349999999999999</v>
      </c>
      <c r="O32" s="4">
        <f>10*108.4965</f>
        <v>1084.9649999999999</v>
      </c>
      <c r="P32" s="3">
        <v>0.18679999999999999</v>
      </c>
      <c r="Q32" s="4">
        <f>10*152.5306</f>
        <v>1525.306</v>
      </c>
      <c r="R32" s="3">
        <v>0.14080000000000001</v>
      </c>
      <c r="S32" s="4">
        <f>10*120.0306</f>
        <v>1200.306</v>
      </c>
      <c r="T32" s="3">
        <v>0.2898</v>
      </c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x14ac:dyDescent="0.25">
      <c r="A33" s="4">
        <v>297.28500000000003</v>
      </c>
      <c r="B33" s="3">
        <v>7.8200000000000006E-2</v>
      </c>
      <c r="C33" s="4">
        <v>149.62</v>
      </c>
      <c r="D33" s="3">
        <v>0.52500000000000002</v>
      </c>
      <c r="E33" s="4">
        <v>216.14500000000001</v>
      </c>
      <c r="F33" s="3">
        <v>0.35389999999999999</v>
      </c>
      <c r="G33" s="4">
        <v>263.85899999999998</v>
      </c>
      <c r="H33" s="3">
        <v>0.36670000000000003</v>
      </c>
      <c r="I33" s="4">
        <f>35.865*10</f>
        <v>358.65000000000003</v>
      </c>
      <c r="J33" s="3">
        <v>0.44669999999999999</v>
      </c>
      <c r="K33" s="4">
        <f>10*53.3658</f>
        <v>533.65800000000002</v>
      </c>
      <c r="L33" s="3">
        <v>0.34560000000000002</v>
      </c>
      <c r="M33" s="4">
        <f>10*64.2911</f>
        <v>642.91100000000006</v>
      </c>
      <c r="N33" s="3">
        <v>0.36730000000000002</v>
      </c>
      <c r="O33" s="4">
        <f>10*100.3524</f>
        <v>1003.524</v>
      </c>
      <c r="P33" s="3">
        <v>0.2155</v>
      </c>
      <c r="Q33" s="4">
        <f>10*140.4965</f>
        <v>1404.9649999999999</v>
      </c>
      <c r="R33" s="3">
        <v>0.16189999999999999</v>
      </c>
      <c r="S33" s="4">
        <f>10*111.7143</f>
        <v>1117.143</v>
      </c>
      <c r="T33" s="3">
        <v>0.33879999999999999</v>
      </c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x14ac:dyDescent="0.25">
      <c r="A34" s="4">
        <v>274.67500000000001</v>
      </c>
      <c r="B34" s="3">
        <v>8.8300000000000003E-2</v>
      </c>
      <c r="C34" s="4">
        <v>138.672</v>
      </c>
      <c r="D34" s="3">
        <v>0.64</v>
      </c>
      <c r="E34" s="4">
        <v>195.791</v>
      </c>
      <c r="F34" s="3">
        <v>0.4471</v>
      </c>
      <c r="G34" s="4">
        <v>243.78899999999999</v>
      </c>
      <c r="H34" s="3">
        <v>0.44330000000000003</v>
      </c>
      <c r="I34" s="4">
        <f>33.2401*10</f>
        <v>332.40099999999995</v>
      </c>
      <c r="J34" s="3">
        <v>0.53339999999999999</v>
      </c>
      <c r="K34" s="4">
        <f>10*49.8244</f>
        <v>498.24399999999997</v>
      </c>
      <c r="L34" s="3">
        <v>0.40799999999999997</v>
      </c>
      <c r="M34" s="4">
        <f>10*60.8427</f>
        <v>608.42700000000002</v>
      </c>
      <c r="N34" s="3">
        <v>0.42330000000000001</v>
      </c>
      <c r="O34" s="4">
        <f>10*93.9858</f>
        <v>939.85799999999995</v>
      </c>
      <c r="P34" s="3">
        <v>0.24859999999999999</v>
      </c>
      <c r="Q34" s="4">
        <f>10*129.8164</f>
        <v>1298.1639999999998</v>
      </c>
      <c r="R34" s="3">
        <v>0.18990000000000001</v>
      </c>
      <c r="S34" s="4">
        <f>10*103.866</f>
        <v>1038.6600000000001</v>
      </c>
      <c r="T34" s="3">
        <v>0.40210000000000001</v>
      </c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x14ac:dyDescent="0.25">
      <c r="A35" s="4">
        <v>256.173</v>
      </c>
      <c r="B35" s="3">
        <v>0.1</v>
      </c>
      <c r="C35" s="4">
        <v>128.25800000000001</v>
      </c>
      <c r="D35" s="3">
        <v>0.77949999999999997</v>
      </c>
      <c r="E35" s="4">
        <v>177.35400000000001</v>
      </c>
      <c r="F35" s="3">
        <v>0.54900000000000004</v>
      </c>
      <c r="G35" s="4">
        <v>221.52500000000001</v>
      </c>
      <c r="H35" s="3">
        <v>0.54390000000000005</v>
      </c>
      <c r="I35" s="4">
        <f>30.6155*10</f>
        <v>306.15500000000003</v>
      </c>
      <c r="J35" s="3">
        <v>0.64900000000000002</v>
      </c>
      <c r="K35" s="4">
        <f>10*46.7606</f>
        <v>467.60599999999999</v>
      </c>
      <c r="L35" s="3">
        <v>0.48459999999999998</v>
      </c>
      <c r="M35" s="4">
        <f>10*56.8059</f>
        <v>568.05899999999997</v>
      </c>
      <c r="N35" s="3">
        <v>0.50590000000000002</v>
      </c>
      <c r="O35" s="4">
        <f>10*87.2027</f>
        <v>872.02699999999993</v>
      </c>
      <c r="P35" s="3">
        <v>0.29220000000000002</v>
      </c>
      <c r="Q35" s="4">
        <f>10*119.4501</f>
        <v>1194.501</v>
      </c>
      <c r="R35" s="3">
        <v>0.2218</v>
      </c>
      <c r="S35" s="4">
        <f>10*96.168</f>
        <v>961.68000000000006</v>
      </c>
      <c r="T35" s="3">
        <v>0.48209999999999997</v>
      </c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x14ac:dyDescent="0.25">
      <c r="A36" s="4">
        <v>239.41499999999999</v>
      </c>
      <c r="B36" s="3">
        <v>0.11269999999999999</v>
      </c>
      <c r="C36" s="4">
        <v>118.873</v>
      </c>
      <c r="D36" s="3">
        <v>0.9385</v>
      </c>
      <c r="E36" s="4">
        <v>162.673</v>
      </c>
      <c r="F36" s="3">
        <v>0.6694</v>
      </c>
      <c r="G36" s="4">
        <v>204.03700000000001</v>
      </c>
      <c r="H36" s="3">
        <v>0.66310000000000002</v>
      </c>
      <c r="I36" s="4">
        <f>28.6718*10</f>
        <v>286.71800000000002</v>
      </c>
      <c r="J36" s="3">
        <v>0.77010000000000001</v>
      </c>
      <c r="K36" s="4">
        <f>10*43.8852</f>
        <v>438.85199999999998</v>
      </c>
      <c r="L36" s="3">
        <v>0.56200000000000006</v>
      </c>
      <c r="M36" s="4">
        <f>10*52.1616</f>
        <v>521.61599999999999</v>
      </c>
      <c r="N36" s="3">
        <v>0.62070000000000003</v>
      </c>
      <c r="O36" s="4">
        <f>10*79.7392</f>
        <v>797.39199999999994</v>
      </c>
      <c r="P36" s="3">
        <v>0.35260000000000002</v>
      </c>
      <c r="Q36" s="4">
        <f>10*110.3699</f>
        <v>1103.6990000000001</v>
      </c>
      <c r="R36" s="3">
        <v>0.26290000000000002</v>
      </c>
      <c r="S36" s="4">
        <f>10*89.505</f>
        <v>895.05</v>
      </c>
      <c r="T36" s="3">
        <v>0.57379999999999998</v>
      </c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x14ac:dyDescent="0.25">
      <c r="A37" s="4">
        <v>221.43700000000001</v>
      </c>
      <c r="B37" s="3">
        <v>0.1275</v>
      </c>
      <c r="C37" s="4">
        <v>111.096</v>
      </c>
      <c r="D37" s="3">
        <v>1.1395</v>
      </c>
      <c r="E37" s="4">
        <v>150.298</v>
      </c>
      <c r="F37" s="3">
        <v>0.8085</v>
      </c>
      <c r="G37" s="4">
        <v>189.89599999999999</v>
      </c>
      <c r="H37" s="3">
        <v>0.79100000000000004</v>
      </c>
      <c r="I37" s="4">
        <f>26.601*10</f>
        <v>266.01</v>
      </c>
      <c r="J37" s="3">
        <v>0.9224</v>
      </c>
      <c r="K37" s="4">
        <f>10*40.8028</f>
        <v>408.02799999999996</v>
      </c>
      <c r="L37" s="3">
        <v>0.6613</v>
      </c>
      <c r="M37" s="4">
        <f>10*47.6981</f>
        <v>476.98099999999999</v>
      </c>
      <c r="N37" s="3">
        <v>0.76780000000000004</v>
      </c>
      <c r="O37" s="4">
        <f>10*73.9074</f>
        <v>739.07399999999996</v>
      </c>
      <c r="P37" s="3">
        <v>0.42049999999999998</v>
      </c>
      <c r="Q37" s="4">
        <f>10*102.6184</f>
        <v>1026.184</v>
      </c>
      <c r="R37" s="3">
        <v>0.30170000000000002</v>
      </c>
      <c r="S37" s="4">
        <f>10*82.5271</f>
        <v>825.27100000000007</v>
      </c>
      <c r="T37" s="3">
        <v>0.69089999999999996</v>
      </c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x14ac:dyDescent="0.25">
      <c r="A38" s="4">
        <v>209.11600000000001</v>
      </c>
      <c r="B38" s="3">
        <v>0.14269999999999999</v>
      </c>
      <c r="C38" s="4">
        <v>103.181</v>
      </c>
      <c r="D38" s="3">
        <v>1.3620000000000001</v>
      </c>
      <c r="E38" s="4">
        <v>142.08199999999999</v>
      </c>
      <c r="F38" s="3">
        <v>0.96540000000000004</v>
      </c>
      <c r="G38" s="4">
        <v>176.001</v>
      </c>
      <c r="H38" s="3">
        <v>0.95930000000000004</v>
      </c>
      <c r="I38" s="4">
        <f>25.0422*10</f>
        <v>250.42200000000003</v>
      </c>
      <c r="J38" s="3">
        <v>1.0933999999999999</v>
      </c>
      <c r="K38" s="4">
        <f>10*38.1347</f>
        <v>381.34700000000004</v>
      </c>
      <c r="L38" s="3">
        <v>0.78800000000000003</v>
      </c>
      <c r="M38" s="4">
        <f>10*43.9353</f>
        <v>439.35299999999995</v>
      </c>
      <c r="N38" s="3">
        <v>0.94579999999999997</v>
      </c>
      <c r="O38" s="4">
        <f>10*68.4309</f>
        <v>684.30899999999997</v>
      </c>
      <c r="P38" s="3">
        <v>0.50839999999999996</v>
      </c>
      <c r="Q38" s="4">
        <f>10*95.6101</f>
        <v>956.101</v>
      </c>
      <c r="R38" s="3">
        <v>0.35880000000000001</v>
      </c>
      <c r="S38" s="4">
        <f>10*76.7294</f>
        <v>767.29399999999998</v>
      </c>
      <c r="T38" s="3">
        <v>0.8276</v>
      </c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x14ac:dyDescent="0.25">
      <c r="A39" s="4">
        <v>192.81</v>
      </c>
      <c r="B39" s="3">
        <v>0.1643</v>
      </c>
      <c r="C39" s="4">
        <v>97.236999999999995</v>
      </c>
      <c r="D39" s="3">
        <v>1.6111</v>
      </c>
      <c r="E39" s="4">
        <v>132.37200000000001</v>
      </c>
      <c r="F39" s="3">
        <v>1.1806000000000001</v>
      </c>
      <c r="G39" s="4">
        <v>166.381</v>
      </c>
      <c r="H39" s="3">
        <v>1.1032999999999999</v>
      </c>
      <c r="I39" s="4">
        <f>23.4279*10</f>
        <v>234.279</v>
      </c>
      <c r="J39" s="3">
        <v>1.3069</v>
      </c>
      <c r="K39" s="4">
        <f>10*35.6411</f>
        <v>356.411</v>
      </c>
      <c r="L39" s="3">
        <v>0.93500000000000005</v>
      </c>
      <c r="M39" s="4">
        <f>10*40.8499</f>
        <v>408.49899999999997</v>
      </c>
      <c r="N39" s="3">
        <v>1.1471</v>
      </c>
      <c r="O39" s="4">
        <f>10*64.0228</f>
        <v>640.22800000000007</v>
      </c>
      <c r="P39" s="3">
        <v>0.59199999999999997</v>
      </c>
      <c r="Q39" s="4">
        <f>10*90.6698</f>
        <v>906.69799999999998</v>
      </c>
      <c r="R39" s="3">
        <v>0.40960000000000002</v>
      </c>
      <c r="S39" s="4">
        <f>10*72.3858</f>
        <v>723.85800000000006</v>
      </c>
      <c r="T39" s="3">
        <v>0.97589999999999999</v>
      </c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x14ac:dyDescent="0.25">
      <c r="A40" s="4">
        <v>177.77600000000001</v>
      </c>
      <c r="B40" s="3">
        <v>0.19189999999999999</v>
      </c>
      <c r="C40" s="4">
        <v>91.064999999999998</v>
      </c>
      <c r="D40" s="3">
        <v>1.9378</v>
      </c>
      <c r="E40" s="4">
        <v>123.325</v>
      </c>
      <c r="F40" s="3">
        <v>1.4852000000000001</v>
      </c>
      <c r="G40" s="4">
        <v>154.68799999999999</v>
      </c>
      <c r="H40" s="3">
        <v>1.3339000000000001</v>
      </c>
      <c r="I40" s="4">
        <f>22.1471*10</f>
        <v>221.47099999999998</v>
      </c>
      <c r="J40" s="3">
        <v>1.5786</v>
      </c>
      <c r="K40" s="4">
        <f>10*32.9315</f>
        <v>329.315</v>
      </c>
      <c r="L40" s="3">
        <v>1.1435999999999999</v>
      </c>
      <c r="M40" s="4">
        <f>10*38.5785</f>
        <v>385.78499999999997</v>
      </c>
      <c r="N40" s="3">
        <v>1.3483000000000001</v>
      </c>
      <c r="O40" s="4">
        <f>10*60.3993</f>
        <v>603.99299999999994</v>
      </c>
      <c r="P40" s="3">
        <v>0.68010000000000004</v>
      </c>
      <c r="Q40" s="4">
        <f>10*84.918</f>
        <v>849.18000000000006</v>
      </c>
      <c r="R40" s="3">
        <v>0.4834</v>
      </c>
      <c r="S40" s="4">
        <f>10*67.4407</f>
        <v>674.40700000000004</v>
      </c>
      <c r="T40" s="3">
        <v>1.1665000000000001</v>
      </c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x14ac:dyDescent="0.25">
      <c r="A41" s="4">
        <v>167.18700000000001</v>
      </c>
      <c r="B41" s="3">
        <v>0.21820000000000001</v>
      </c>
      <c r="C41" s="4">
        <v>84.841999999999999</v>
      </c>
      <c r="D41" s="3">
        <v>2.3923000000000001</v>
      </c>
      <c r="E41" s="4">
        <v>115.376</v>
      </c>
      <c r="F41" s="3">
        <v>1.7976000000000001</v>
      </c>
      <c r="G41" s="4">
        <v>145.625</v>
      </c>
      <c r="H41" s="3">
        <v>1.6128</v>
      </c>
      <c r="I41" s="4">
        <f>20.9799*10</f>
        <v>209.79900000000001</v>
      </c>
      <c r="J41" s="3">
        <v>1.877</v>
      </c>
      <c r="K41" s="4">
        <f>10*30.6822</f>
        <v>306.822</v>
      </c>
      <c r="L41" s="3">
        <v>1.4074</v>
      </c>
      <c r="M41" s="4">
        <f>10*35.9441</f>
        <v>359.44099999999997</v>
      </c>
      <c r="N41" s="3">
        <v>1.6800999999999999</v>
      </c>
      <c r="O41" s="4">
        <f>10*55.4602</f>
        <v>554.60199999999998</v>
      </c>
      <c r="P41" s="3">
        <v>0.83440000000000003</v>
      </c>
      <c r="Q41" s="4">
        <f>10*78.79</f>
        <v>787.90000000000009</v>
      </c>
      <c r="R41" s="3">
        <v>0.57120000000000004</v>
      </c>
      <c r="S41" s="4">
        <f>10*64.2885</f>
        <v>642.88499999999999</v>
      </c>
      <c r="T41" s="3">
        <v>1.3669</v>
      </c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x14ac:dyDescent="0.25">
      <c r="A42" s="4">
        <v>155.76300000000001</v>
      </c>
      <c r="B42" s="3">
        <v>0.25040000000000001</v>
      </c>
      <c r="C42" s="4">
        <v>80.623000000000005</v>
      </c>
      <c r="D42" s="3">
        <v>2.8445999999999998</v>
      </c>
      <c r="E42" s="4">
        <v>108.842</v>
      </c>
      <c r="F42" s="3">
        <v>2.1825000000000001</v>
      </c>
      <c r="G42" s="4">
        <v>136.24</v>
      </c>
      <c r="H42" s="3">
        <v>1.9973000000000001</v>
      </c>
      <c r="I42" s="4">
        <f>19.895*10</f>
        <v>198.95</v>
      </c>
      <c r="J42" s="3">
        <v>2.2111000000000001</v>
      </c>
      <c r="K42" s="4">
        <f>10*29.0361</f>
        <v>290.36099999999999</v>
      </c>
      <c r="L42" s="3">
        <v>1.6718</v>
      </c>
      <c r="M42" s="4">
        <f>10*33.9101</f>
        <v>339.101</v>
      </c>
      <c r="N42" s="3">
        <v>1.9852000000000001</v>
      </c>
      <c r="O42" s="4">
        <f>10*51.9416</f>
        <v>519.41600000000005</v>
      </c>
      <c r="P42" s="3">
        <v>1.0099</v>
      </c>
      <c r="Q42" s="4">
        <f>10*74.4085</f>
        <v>744.08500000000004</v>
      </c>
      <c r="R42" s="3">
        <v>0.65959999999999996</v>
      </c>
      <c r="S42" s="4">
        <f>10*60.6492</f>
        <v>606.49199999999996</v>
      </c>
      <c r="T42" s="3">
        <v>1.6407</v>
      </c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x14ac:dyDescent="0.25">
      <c r="A43" s="4">
        <v>143.767</v>
      </c>
      <c r="B43" s="3">
        <v>0.29520000000000002</v>
      </c>
      <c r="C43" s="4">
        <v>77.013999999999996</v>
      </c>
      <c r="D43" s="3">
        <v>3.3858999999999999</v>
      </c>
      <c r="E43" s="4">
        <v>103.214</v>
      </c>
      <c r="F43" s="3">
        <v>2.4813000000000001</v>
      </c>
      <c r="G43" s="4">
        <v>128.79300000000001</v>
      </c>
      <c r="H43" s="3">
        <v>2.4581</v>
      </c>
      <c r="I43" s="4">
        <f>19.0636*10</f>
        <v>190.63600000000002</v>
      </c>
      <c r="J43" s="3">
        <v>2.6044999999999998</v>
      </c>
      <c r="K43" s="4">
        <f>10*27.1657</f>
        <v>271.65700000000004</v>
      </c>
      <c r="L43" s="3">
        <v>2.0297999999999998</v>
      </c>
      <c r="M43" s="4">
        <f>10*32.2922</f>
        <v>322.92200000000003</v>
      </c>
      <c r="N43" s="3">
        <v>2.3677000000000001</v>
      </c>
      <c r="O43" s="4">
        <f>10*48.4443</f>
        <v>484.44299999999998</v>
      </c>
      <c r="P43" s="3">
        <v>1.2222</v>
      </c>
      <c r="Q43" s="4">
        <f>10*69.0389</f>
        <v>690.38900000000001</v>
      </c>
      <c r="R43" s="3">
        <v>0.79169999999999996</v>
      </c>
      <c r="S43" s="4">
        <f>10*57.3948</f>
        <v>573.94799999999998</v>
      </c>
      <c r="T43" s="3">
        <v>1.9489000000000001</v>
      </c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x14ac:dyDescent="0.25">
      <c r="A44" s="4">
        <v>135.20400000000001</v>
      </c>
      <c r="B44" s="3">
        <v>0.3427</v>
      </c>
      <c r="C44" s="4">
        <v>73.873000000000005</v>
      </c>
      <c r="D44" s="3">
        <v>3.9967000000000001</v>
      </c>
      <c r="E44" s="4">
        <v>99.417000000000002</v>
      </c>
      <c r="F44" s="3">
        <v>2.8416000000000001</v>
      </c>
      <c r="G44" s="4">
        <v>121.627</v>
      </c>
      <c r="H44" s="3">
        <v>2.9689000000000001</v>
      </c>
      <c r="I44" s="4">
        <f>18.1721*10</f>
        <v>181.721</v>
      </c>
      <c r="J44" s="3">
        <v>3.0905</v>
      </c>
      <c r="K44" s="4">
        <f>10*25.8156</f>
        <v>258.15600000000001</v>
      </c>
      <c r="L44" s="3">
        <v>2.4516</v>
      </c>
      <c r="M44" s="4">
        <f>10*30.6557</f>
        <v>306.55700000000002</v>
      </c>
      <c r="N44" s="3">
        <v>2.9228999999999998</v>
      </c>
      <c r="O44" s="4">
        <f>10*45.6549</f>
        <v>456.54899999999998</v>
      </c>
      <c r="P44" s="3">
        <v>1.4807999999999999</v>
      </c>
      <c r="Q44" s="4">
        <f>10*65.4035</f>
        <v>654.03499999999997</v>
      </c>
      <c r="R44" s="3">
        <v>0.8982</v>
      </c>
      <c r="S44" s="4">
        <f>10*54.7691</f>
        <v>547.69100000000003</v>
      </c>
      <c r="T44" s="3">
        <v>2.2980999999999998</v>
      </c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x14ac:dyDescent="0.25">
      <c r="A45" s="4">
        <v>124.92100000000001</v>
      </c>
      <c r="B45" s="3">
        <v>0.4118</v>
      </c>
      <c r="C45" s="4">
        <v>72.05</v>
      </c>
      <c r="D45" s="3">
        <v>4.492</v>
      </c>
      <c r="E45" s="4">
        <v>95.263000000000005</v>
      </c>
      <c r="F45" s="3">
        <v>3.3193999999999999</v>
      </c>
      <c r="G45" s="4">
        <v>116.545</v>
      </c>
      <c r="H45" s="3">
        <v>3.5709</v>
      </c>
      <c r="I45" s="4">
        <f>17.6316*10</f>
        <v>176.31599999999997</v>
      </c>
      <c r="J45" s="3">
        <v>3.5026999999999999</v>
      </c>
      <c r="K45" s="4">
        <f>10*24.5836</f>
        <v>245.83600000000001</v>
      </c>
      <c r="L45" s="3">
        <v>2.9211999999999998</v>
      </c>
      <c r="M45" s="4">
        <f>10*29.3147</f>
        <v>293.14699999999999</v>
      </c>
      <c r="N45" s="3">
        <v>3.5448</v>
      </c>
      <c r="O45" s="4">
        <f>10*43.0262</f>
        <v>430.26200000000006</v>
      </c>
      <c r="P45" s="3">
        <v>1.7754000000000001</v>
      </c>
      <c r="Q45" s="4">
        <f>10*62.024</f>
        <v>620.24</v>
      </c>
      <c r="R45" s="3">
        <v>1.0275000000000001</v>
      </c>
      <c r="S45" s="4">
        <f>10*51.8303</f>
        <v>518.303</v>
      </c>
      <c r="T45" s="3">
        <v>2.8018000000000001</v>
      </c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x14ac:dyDescent="0.25">
      <c r="A46" s="4">
        <v>118.34</v>
      </c>
      <c r="B46" s="3">
        <v>0.47260000000000002</v>
      </c>
      <c r="C46" s="4">
        <v>70.566000000000003</v>
      </c>
      <c r="D46" s="3">
        <v>5.1390000000000002</v>
      </c>
      <c r="E46" s="4">
        <v>90.903000000000006</v>
      </c>
      <c r="F46" s="3">
        <v>4.0555000000000003</v>
      </c>
      <c r="G46" s="4">
        <v>113.197</v>
      </c>
      <c r="H46" s="3">
        <v>4.3040000000000003</v>
      </c>
      <c r="I46" s="4">
        <f>17.1786*10</f>
        <v>171.786</v>
      </c>
      <c r="J46" s="3">
        <v>4.0576999999999996</v>
      </c>
      <c r="K46" s="4">
        <f>10*23.6799</f>
        <v>236.79900000000001</v>
      </c>
      <c r="L46" s="3">
        <v>3.4554999999999998</v>
      </c>
      <c r="M46" s="4">
        <f>10*28.2961</f>
        <v>282.96100000000001</v>
      </c>
      <c r="N46" s="3">
        <v>4.2633000000000001</v>
      </c>
      <c r="O46" s="4">
        <f>10*41.101</f>
        <v>411.01</v>
      </c>
      <c r="P46" s="3">
        <v>2.0956000000000001</v>
      </c>
      <c r="Q46" s="4">
        <f>10*58.4531</f>
        <v>584.53099999999995</v>
      </c>
      <c r="R46" s="3">
        <v>1.2230000000000001</v>
      </c>
      <c r="S46" s="4">
        <f>10*49.7689</f>
        <v>497.68900000000002</v>
      </c>
      <c r="T46" s="3">
        <v>3.3073999999999999</v>
      </c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x14ac:dyDescent="0.25">
      <c r="A47" s="4">
        <v>112.57299999999999</v>
      </c>
      <c r="B47" s="3">
        <v>0.52839999999999998</v>
      </c>
      <c r="C47" s="4">
        <v>69.256</v>
      </c>
      <c r="D47" s="3">
        <v>6.0788000000000002</v>
      </c>
      <c r="E47" s="4">
        <v>87.650999999999996</v>
      </c>
      <c r="F47" s="3">
        <v>5.0119999999999996</v>
      </c>
      <c r="G47" s="4">
        <v>110.749</v>
      </c>
      <c r="H47" s="3">
        <v>4.9806999999999997</v>
      </c>
      <c r="I47" s="4">
        <f>16.6677*10</f>
        <v>166.67699999999999</v>
      </c>
      <c r="J47" s="3">
        <v>4.8451000000000004</v>
      </c>
      <c r="K47" s="4">
        <f>10*22.8331</f>
        <v>228.33100000000002</v>
      </c>
      <c r="L47" s="3">
        <v>4.1605999999999996</v>
      </c>
      <c r="M47" s="4">
        <f>10*27.4553</f>
        <v>274.553</v>
      </c>
      <c r="N47" s="3">
        <v>5.0007000000000001</v>
      </c>
      <c r="O47" s="4">
        <f>10*38.8152</f>
        <v>388.15199999999999</v>
      </c>
      <c r="P47" s="3">
        <v>2.5257999999999998</v>
      </c>
      <c r="Q47" s="4">
        <f>10*54.9162</f>
        <v>549.16200000000003</v>
      </c>
      <c r="R47" s="3">
        <v>1.4785999999999999</v>
      </c>
      <c r="S47" s="4">
        <f>10*48.6425</f>
        <v>486.42499999999995</v>
      </c>
      <c r="T47" s="3">
        <v>3.7679999999999998</v>
      </c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x14ac:dyDescent="0.25">
      <c r="A48" s="4">
        <v>104.881</v>
      </c>
      <c r="B48" s="3">
        <v>0.62380000000000002</v>
      </c>
      <c r="C48" s="4">
        <v>67.757999999999996</v>
      </c>
      <c r="D48" s="3">
        <v>7.45</v>
      </c>
      <c r="E48" s="4">
        <v>85.132999999999996</v>
      </c>
      <c r="F48" s="3">
        <v>6.0346000000000002</v>
      </c>
      <c r="G48" s="4">
        <v>107.905</v>
      </c>
      <c r="H48" s="3">
        <v>6.0220000000000002</v>
      </c>
      <c r="I48" s="4">
        <f>16.2394*10</f>
        <v>162.39400000000001</v>
      </c>
      <c r="J48" s="3">
        <v>5.6894999999999998</v>
      </c>
      <c r="K48" s="4">
        <f>10*21.948</f>
        <v>219.48000000000002</v>
      </c>
      <c r="L48" s="3">
        <v>5.2122000000000002</v>
      </c>
      <c r="M48" s="4">
        <f>10*26.7784</f>
        <v>267.78399999999999</v>
      </c>
      <c r="N48" s="3">
        <v>5.8596000000000004</v>
      </c>
      <c r="O48" s="4">
        <f>10*37.233</f>
        <v>372.33</v>
      </c>
      <c r="P48" s="3">
        <v>3.0063</v>
      </c>
      <c r="Q48" s="4">
        <f>10*51.1125</f>
        <v>511.125</v>
      </c>
      <c r="R48" s="3">
        <v>1.8063</v>
      </c>
      <c r="S48" s="4">
        <f>10*47.0494</f>
        <v>470.49399999999997</v>
      </c>
      <c r="T48" s="3">
        <v>4.6374000000000004</v>
      </c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pans="1:256" x14ac:dyDescent="0.25">
      <c r="A49" s="4">
        <v>98.02</v>
      </c>
      <c r="B49" s="3">
        <v>0.72189999999999999</v>
      </c>
      <c r="C49" s="4">
        <v>67.057000000000002</v>
      </c>
      <c r="D49" s="3">
        <v>8.8862000000000005</v>
      </c>
      <c r="E49" s="4">
        <v>83.465000000000003</v>
      </c>
      <c r="F49" s="3">
        <v>7.1083999999999996</v>
      </c>
      <c r="G49" s="4">
        <v>104.914</v>
      </c>
      <c r="H49" s="3">
        <v>7.1978999999999997</v>
      </c>
      <c r="I49" s="4">
        <f>15.9048*10</f>
        <v>159.048</v>
      </c>
      <c r="J49" s="3">
        <v>6.7864000000000004</v>
      </c>
      <c r="K49" s="4">
        <f>10*21.3845</f>
        <v>213.845</v>
      </c>
      <c r="L49" s="3">
        <v>6.1847000000000003</v>
      </c>
      <c r="M49" s="4">
        <f>10*26.1182</f>
        <v>261.18200000000002</v>
      </c>
      <c r="N49" s="3">
        <v>7.1584000000000003</v>
      </c>
      <c r="O49" s="4">
        <f>10*35.9764</f>
        <v>359.76400000000001</v>
      </c>
      <c r="P49" s="3">
        <v>3.6082999999999998</v>
      </c>
      <c r="Q49" s="4">
        <f>10*48.8257</f>
        <v>488.25699999999995</v>
      </c>
      <c r="R49" s="3">
        <v>2.1187999999999998</v>
      </c>
      <c r="S49" s="4">
        <f>10*45.7935</f>
        <v>457.935</v>
      </c>
      <c r="T49" s="3">
        <v>5.6776</v>
      </c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pans="1:256" x14ac:dyDescent="0.25">
      <c r="A50" s="4">
        <v>92.277000000000001</v>
      </c>
      <c r="B50" s="3">
        <v>0.84330000000000005</v>
      </c>
      <c r="C50" s="4">
        <v>66.501000000000005</v>
      </c>
      <c r="D50" s="3">
        <v>10.4457</v>
      </c>
      <c r="E50" s="4">
        <v>82.429000000000002</v>
      </c>
      <c r="F50" s="3">
        <v>8.4522999999999993</v>
      </c>
      <c r="G50" s="4">
        <v>103.074</v>
      </c>
      <c r="H50" s="3">
        <v>8.6845999999999997</v>
      </c>
      <c r="I50" s="4">
        <f>10*15.48</f>
        <v>154.80000000000001</v>
      </c>
      <c r="J50" s="3">
        <v>8.3871000000000002</v>
      </c>
      <c r="K50" s="4">
        <f>10*20.8138</f>
        <v>208.13800000000001</v>
      </c>
      <c r="L50" s="3">
        <v>7.9276999999999997</v>
      </c>
      <c r="M50" s="4">
        <f>10*25.5804</f>
        <v>255.804</v>
      </c>
      <c r="N50" s="3">
        <v>8.6723999999999997</v>
      </c>
      <c r="O50" s="4">
        <f>10*34.726</f>
        <v>347.26</v>
      </c>
      <c r="P50" s="3">
        <v>4.2591000000000001</v>
      </c>
      <c r="Q50" s="4">
        <f>10*46.4475</f>
        <v>464.47499999999997</v>
      </c>
      <c r="R50" s="3">
        <v>2.5377000000000001</v>
      </c>
      <c r="S50" s="4">
        <f>10*44.3398</f>
        <v>443.39799999999997</v>
      </c>
      <c r="T50" s="3">
        <v>7.1647999999999996</v>
      </c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1:256" x14ac:dyDescent="0.25">
      <c r="A51" s="4">
        <v>87.052999999999997</v>
      </c>
      <c r="B51" s="3">
        <v>0.98409999999999997</v>
      </c>
      <c r="C51" s="4">
        <v>66.293000000000006</v>
      </c>
      <c r="D51" s="3">
        <v>12.2532</v>
      </c>
      <c r="E51" s="4">
        <v>81.320999999999998</v>
      </c>
      <c r="F51" s="3">
        <v>10.198</v>
      </c>
      <c r="G51" s="4">
        <v>101.161</v>
      </c>
      <c r="H51" s="3">
        <v>10.3697</v>
      </c>
      <c r="I51" s="4">
        <f>10*15.1768</f>
        <v>151.768</v>
      </c>
      <c r="J51" s="3">
        <v>10.077500000000001</v>
      </c>
      <c r="K51" s="4">
        <f>10*20.3852</f>
        <v>203.852</v>
      </c>
      <c r="L51" s="3">
        <v>9.8694000000000006</v>
      </c>
      <c r="M51" s="4">
        <f>10*25.1582</f>
        <v>251.58199999999999</v>
      </c>
      <c r="N51" s="3">
        <v>10.2898</v>
      </c>
      <c r="O51" s="4">
        <f>10*33.6939</f>
        <v>336.93899999999996</v>
      </c>
      <c r="P51" s="3">
        <v>5.1012000000000004</v>
      </c>
      <c r="Q51" s="4">
        <f>10*44.3694</f>
        <v>443.69399999999996</v>
      </c>
      <c r="R51" s="3">
        <v>3.0362</v>
      </c>
      <c r="S51" s="4">
        <f>10*43.4718</f>
        <v>434.71800000000002</v>
      </c>
      <c r="T51" s="3">
        <v>8.5105000000000004</v>
      </c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pans="1:256" x14ac:dyDescent="0.25">
      <c r="A52" s="4">
        <v>82.552000000000007</v>
      </c>
      <c r="B52" s="3">
        <v>1.1246</v>
      </c>
      <c r="C52" s="4">
        <v>65.742999999999995</v>
      </c>
      <c r="D52" s="3">
        <v>15.5756</v>
      </c>
      <c r="E52" s="4">
        <v>80.647000000000006</v>
      </c>
      <c r="F52" s="3">
        <v>12.2532</v>
      </c>
      <c r="G52" s="4">
        <v>100.009</v>
      </c>
      <c r="H52" s="3">
        <v>11.9877</v>
      </c>
      <c r="I52" s="4">
        <f>10*15.0352</f>
        <v>150.352</v>
      </c>
      <c r="J52" s="3">
        <v>12.1212</v>
      </c>
      <c r="K52" s="4">
        <f>10*20.0695</f>
        <v>200.69500000000002</v>
      </c>
      <c r="L52" s="3">
        <v>11.9954</v>
      </c>
      <c r="M52" s="4">
        <f>10*24.8461</f>
        <v>248.46100000000001</v>
      </c>
      <c r="N52" s="3">
        <v>12.623200000000001</v>
      </c>
      <c r="O52" s="4">
        <f>10*32.7947</f>
        <v>327.947</v>
      </c>
      <c r="P52" s="3">
        <v>6.3304</v>
      </c>
      <c r="Q52" s="4">
        <f>10*42.3843</f>
        <v>423.84300000000002</v>
      </c>
      <c r="R52" s="3">
        <v>3.6861999999999999</v>
      </c>
      <c r="S52" s="4">
        <f>10*42.7985</f>
        <v>427.98499999999996</v>
      </c>
      <c r="T52" s="3">
        <v>10.067</v>
      </c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pans="1:256" x14ac:dyDescent="0.25">
      <c r="A53" s="4">
        <v>78.040000000000006</v>
      </c>
      <c r="B53" s="3">
        <v>1.3138000000000001</v>
      </c>
      <c r="C53" s="4">
        <v>66.018000000000001</v>
      </c>
      <c r="D53" s="3">
        <v>20.5779</v>
      </c>
      <c r="E53" s="4">
        <v>80.730999999999995</v>
      </c>
      <c r="F53" s="3">
        <v>14.3734</v>
      </c>
      <c r="G53" s="4">
        <v>99.905000000000001</v>
      </c>
      <c r="H53" s="3">
        <v>14.1799</v>
      </c>
      <c r="I53" s="4">
        <f>10*14.9416</f>
        <v>149.416</v>
      </c>
      <c r="J53" s="3">
        <v>14.488300000000001</v>
      </c>
      <c r="K53" s="4">
        <f>10*19.9862</f>
        <v>199.86199999999999</v>
      </c>
      <c r="L53" s="3">
        <v>13.6235</v>
      </c>
      <c r="M53" s="4">
        <f>10*24.743</f>
        <v>247.42999999999998</v>
      </c>
      <c r="N53" s="3">
        <v>15.5991</v>
      </c>
      <c r="O53" s="4">
        <f>10*31.82</f>
        <v>318.2</v>
      </c>
      <c r="P53" s="3">
        <v>7.7986000000000004</v>
      </c>
      <c r="Q53" s="4">
        <f>10*41.2533</f>
        <v>412.53300000000002</v>
      </c>
      <c r="R53" s="3">
        <v>4.2169999999999996</v>
      </c>
      <c r="S53" s="4">
        <f>10*42.3554</f>
        <v>423.55400000000003</v>
      </c>
      <c r="T53" s="3">
        <v>11.982900000000001</v>
      </c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pans="1:256" x14ac:dyDescent="0.25">
      <c r="A54" s="4">
        <v>73.775000000000006</v>
      </c>
      <c r="B54" s="3">
        <v>1.5622</v>
      </c>
      <c r="C54" s="4">
        <v>65.948999999999998</v>
      </c>
      <c r="D54" s="3">
        <v>26.157399999999999</v>
      </c>
      <c r="E54" s="4">
        <v>80.394999999999996</v>
      </c>
      <c r="F54" s="3">
        <v>16.913499999999999</v>
      </c>
      <c r="G54" s="4">
        <v>99.593000000000004</v>
      </c>
      <c r="H54" s="3">
        <v>18.081099999999999</v>
      </c>
      <c r="I54" s="4">
        <f>10*14.864</f>
        <v>148.64000000000001</v>
      </c>
      <c r="J54" s="3">
        <v>17.481100000000001</v>
      </c>
      <c r="K54" s="4">
        <f>10*19.8825</f>
        <v>198.82499999999999</v>
      </c>
      <c r="L54" s="3">
        <v>16.592700000000001</v>
      </c>
      <c r="M54" s="4">
        <f>10*24.6659</f>
        <v>246.65899999999999</v>
      </c>
      <c r="N54" s="3">
        <v>18.957599999999999</v>
      </c>
      <c r="O54" s="4">
        <f>10*31.2622</f>
        <v>312.62200000000001</v>
      </c>
      <c r="P54" s="3">
        <v>9.3993000000000002</v>
      </c>
      <c r="Q54" s="4">
        <f>10*40.1524</f>
        <v>401.524</v>
      </c>
      <c r="R54" s="3">
        <v>5.0401999999999996</v>
      </c>
      <c r="S54" s="4">
        <f>10*42.1795</f>
        <v>421.79499999999996</v>
      </c>
      <c r="T54" s="3">
        <v>14.488300000000001</v>
      </c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pans="1:256" x14ac:dyDescent="0.25">
      <c r="A55" s="4">
        <v>69.742999999999995</v>
      </c>
      <c r="B55" s="3">
        <v>1.8731</v>
      </c>
      <c r="C55" s="4">
        <v>65.88</v>
      </c>
      <c r="D55" s="3">
        <v>30.747800000000002</v>
      </c>
      <c r="E55" s="4">
        <v>80.144000000000005</v>
      </c>
      <c r="F55" s="3">
        <v>19.985499999999998</v>
      </c>
      <c r="G55" s="4">
        <v>99.697000000000003</v>
      </c>
      <c r="H55" s="3">
        <v>22.9358</v>
      </c>
      <c r="I55" s="4">
        <f>10*14.9105</f>
        <v>149.10500000000002</v>
      </c>
      <c r="J55" s="3">
        <v>20.895099999999999</v>
      </c>
      <c r="K55" s="4">
        <f>10*19.9862</f>
        <v>199.86199999999999</v>
      </c>
      <c r="L55" s="3">
        <v>20.786300000000001</v>
      </c>
      <c r="M55" s="4">
        <f>10*25.0017</f>
        <v>250.017</v>
      </c>
      <c r="N55" s="3">
        <v>21.328299999999999</v>
      </c>
      <c r="O55" s="4">
        <f>10*30.7141</f>
        <v>307.14099999999996</v>
      </c>
      <c r="P55" s="3">
        <v>11.4115</v>
      </c>
      <c r="Q55" s="4">
        <f>10*39.081</f>
        <v>390.81000000000006</v>
      </c>
      <c r="R55" s="3">
        <v>5.7599</v>
      </c>
      <c r="S55" s="4">
        <f>10*42.1356</f>
        <v>421.35599999999999</v>
      </c>
      <c r="T55" s="3">
        <v>17.8125</v>
      </c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pans="1:256" x14ac:dyDescent="0.25">
      <c r="A56" s="4">
        <v>66.275000000000006</v>
      </c>
      <c r="B56" s="3">
        <v>2.2273000000000001</v>
      </c>
      <c r="C56" s="4">
        <v>65.811999999999998</v>
      </c>
      <c r="D56" s="3">
        <v>40.327300000000001</v>
      </c>
      <c r="E56" s="4">
        <v>80.311000000000007</v>
      </c>
      <c r="F56" s="3">
        <v>25.167100000000001</v>
      </c>
      <c r="G56" s="4">
        <v>100.009</v>
      </c>
      <c r="H56" s="3">
        <v>29.0334</v>
      </c>
      <c r="I56" s="4">
        <f>10*14.9416</f>
        <v>149.416</v>
      </c>
      <c r="J56" s="3">
        <v>24.897600000000001</v>
      </c>
      <c r="K56" s="4">
        <f>10*19.9654</f>
        <v>199.654</v>
      </c>
      <c r="L56" s="3">
        <v>27.635300000000001</v>
      </c>
      <c r="M56" s="4">
        <f>10*25.0277</f>
        <v>250.27699999999999</v>
      </c>
      <c r="N56" s="3">
        <v>28.0288</v>
      </c>
      <c r="O56" s="4">
        <f>10*30.3331</f>
        <v>303.33100000000002</v>
      </c>
      <c r="P56" s="3">
        <v>13.9414</v>
      </c>
      <c r="Q56" s="4">
        <f>10*38.157</f>
        <v>381.56999999999994</v>
      </c>
      <c r="R56" s="3">
        <v>6.9420000000000002</v>
      </c>
      <c r="S56" s="4">
        <f>10*42.0918</f>
        <v>420.91800000000001</v>
      </c>
      <c r="T56" s="3">
        <v>22.571999999999999</v>
      </c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pans="1:256" x14ac:dyDescent="0.25">
      <c r="A57" s="4">
        <v>66</v>
      </c>
      <c r="B57" s="3">
        <v>2.2319</v>
      </c>
      <c r="C57" s="4">
        <v>65.742999999999995</v>
      </c>
      <c r="D57" s="3">
        <v>50.571399999999997</v>
      </c>
      <c r="E57" s="4">
        <v>79.894999999999996</v>
      </c>
      <c r="F57" s="3">
        <v>30.973099999999999</v>
      </c>
      <c r="G57" s="4">
        <v>99.697000000000003</v>
      </c>
      <c r="H57" s="3">
        <v>37.3705</v>
      </c>
      <c r="I57" s="4">
        <f>10*14.9572</f>
        <v>149.572</v>
      </c>
      <c r="J57" s="3">
        <v>31.682200000000002</v>
      </c>
      <c r="K57" s="4">
        <f>10*19.9654</f>
        <v>199.654</v>
      </c>
      <c r="L57" s="3">
        <v>35.055999999999997</v>
      </c>
      <c r="M57" s="4">
        <f>10*25.0277</f>
        <v>250.27699999999999</v>
      </c>
      <c r="N57" s="3">
        <v>37.767800000000001</v>
      </c>
      <c r="O57" s="4">
        <f>10*30.3015</f>
        <v>303.01499999999999</v>
      </c>
      <c r="P57" s="3">
        <v>17.536899999999999</v>
      </c>
      <c r="Q57" s="4">
        <f>10*37.4102</f>
        <v>374.10200000000003</v>
      </c>
      <c r="R57" s="3">
        <v>8.2283000000000008</v>
      </c>
      <c r="S57" s="4">
        <f>10*41.9169</f>
        <v>419.16899999999998</v>
      </c>
      <c r="T57" s="3">
        <v>30.2608</v>
      </c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pans="1:256" x14ac:dyDescent="0.25">
      <c r="A58" s="4">
        <v>63.374000000000002</v>
      </c>
      <c r="B58" s="3">
        <v>2.6263999999999998</v>
      </c>
      <c r="C58" s="4">
        <v>65.948999999999998</v>
      </c>
      <c r="D58" s="3">
        <v>63.153700000000001</v>
      </c>
      <c r="E58" s="4">
        <v>79.811000000000007</v>
      </c>
      <c r="F58" s="3">
        <v>41.006</v>
      </c>
      <c r="G58" s="4">
        <v>100.009</v>
      </c>
      <c r="H58" s="3">
        <v>47.7517</v>
      </c>
      <c r="I58" s="4">
        <f>10*14.9572</f>
        <v>149.572</v>
      </c>
      <c r="J58" s="3">
        <v>39.442</v>
      </c>
      <c r="K58" s="4">
        <f>10*19.9239</f>
        <v>199.239</v>
      </c>
      <c r="L58" s="3">
        <v>45.454300000000003</v>
      </c>
      <c r="M58" s="4">
        <f>10*24.9497</f>
        <v>249.49700000000001</v>
      </c>
      <c r="N58" s="3">
        <v>50.890799999999999</v>
      </c>
      <c r="O58" s="4">
        <f>10*30.1757</f>
        <v>301.75700000000001</v>
      </c>
      <c r="P58" s="3">
        <v>22.879799999999999</v>
      </c>
      <c r="Q58" s="4">
        <f>10*36.7544</f>
        <v>367.54399999999998</v>
      </c>
      <c r="R58" s="3">
        <v>9.8551000000000002</v>
      </c>
      <c r="S58" s="4">
        <f>10*42.048</f>
        <v>420.48</v>
      </c>
      <c r="T58" s="3">
        <v>40.695900000000002</v>
      </c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1:256" x14ac:dyDescent="0.25">
      <c r="A59" s="4">
        <v>61.234999999999999</v>
      </c>
      <c r="B59" s="3">
        <v>3.0015999999999998</v>
      </c>
      <c r="C59" s="4">
        <v>65.811999999999998</v>
      </c>
      <c r="D59" s="3">
        <v>78.129499999999993</v>
      </c>
      <c r="E59" s="4">
        <v>79.563000000000002</v>
      </c>
      <c r="F59" s="3">
        <v>53.669499999999999</v>
      </c>
      <c r="G59" s="4">
        <v>99.905000000000001</v>
      </c>
      <c r="H59" s="3">
        <v>61.914299999999997</v>
      </c>
      <c r="I59" s="4">
        <f>10*14.926</f>
        <v>149.26</v>
      </c>
      <c r="J59" s="3">
        <v>47.341799999999999</v>
      </c>
      <c r="K59" s="4">
        <f>10*19.9654</f>
        <v>199.654</v>
      </c>
      <c r="L59" s="3">
        <v>60.810699999999997</v>
      </c>
      <c r="M59" s="4">
        <f>10*24.9238</f>
        <v>249.238</v>
      </c>
      <c r="N59" s="3">
        <v>65.772099999999995</v>
      </c>
      <c r="O59" s="4">
        <f>10*30.1129</f>
        <v>301.12900000000002</v>
      </c>
      <c r="P59" s="3">
        <v>28.600999999999999</v>
      </c>
      <c r="Q59" s="4">
        <f>10*36.1477</f>
        <v>361.47699999999998</v>
      </c>
      <c r="R59" s="3">
        <v>11.9771</v>
      </c>
      <c r="S59" s="4">
        <f>10*41.9169</f>
        <v>419.16899999999998</v>
      </c>
      <c r="T59" s="3">
        <v>53.376100000000001</v>
      </c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</row>
    <row r="60" spans="1:256" x14ac:dyDescent="0.25">
      <c r="A60" s="4">
        <v>59.106000000000002</v>
      </c>
      <c r="B60" s="3">
        <v>3.4411</v>
      </c>
      <c r="C60" s="4">
        <v>65.742999999999995</v>
      </c>
      <c r="D60" s="3">
        <v>97.263400000000004</v>
      </c>
      <c r="E60" s="4">
        <v>80.394999999999996</v>
      </c>
      <c r="F60" s="3">
        <v>69.153099999999995</v>
      </c>
      <c r="G60" s="4">
        <v>100.113</v>
      </c>
      <c r="H60" s="3">
        <v>79.444400000000002</v>
      </c>
      <c r="I60" s="4">
        <f>10*14.9416</f>
        <v>149.416</v>
      </c>
      <c r="J60" s="3">
        <v>58.082500000000003</v>
      </c>
      <c r="K60" s="4">
        <f>10*19.9239</f>
        <v>199.239</v>
      </c>
      <c r="L60" s="3">
        <v>80.5107</v>
      </c>
      <c r="M60" s="4">
        <f>10*24.9497</f>
        <v>249.49700000000001</v>
      </c>
      <c r="N60" s="3">
        <v>84.1233</v>
      </c>
      <c r="O60" s="4">
        <f>10*30.1129</f>
        <v>301.12900000000002</v>
      </c>
      <c r="P60" s="3">
        <v>36.735599999999998</v>
      </c>
      <c r="Q60" s="4">
        <f>10*35.8482</f>
        <v>358.48199999999997</v>
      </c>
      <c r="R60" s="3">
        <v>14.375</v>
      </c>
      <c r="S60" s="4">
        <f>10*42.0918</f>
        <v>420.91800000000001</v>
      </c>
      <c r="T60" s="3">
        <v>66.587999999999994</v>
      </c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</row>
    <row r="61" spans="1:256" x14ac:dyDescent="0.25">
      <c r="A61" s="4">
        <v>57.887999999999998</v>
      </c>
      <c r="B61" s="3">
        <v>3.9533</v>
      </c>
      <c r="C61" s="4">
        <v>65.88</v>
      </c>
      <c r="D61" s="3">
        <v>124.2824</v>
      </c>
      <c r="E61" s="4">
        <v>80.227999999999994</v>
      </c>
      <c r="F61" s="3">
        <v>85.730199999999996</v>
      </c>
      <c r="G61" s="4">
        <v>100.113</v>
      </c>
      <c r="H61" s="3">
        <v>100.1461</v>
      </c>
      <c r="I61" s="4">
        <f>10*14.9105</f>
        <v>149.10500000000002</v>
      </c>
      <c r="J61" s="3">
        <v>69.934299999999993</v>
      </c>
      <c r="K61" s="4">
        <f>10*19.9032</f>
        <v>199.03199999999998</v>
      </c>
      <c r="L61" s="3">
        <v>103.84869999999999</v>
      </c>
      <c r="M61" s="4">
        <f>10*24.872</f>
        <v>248.72</v>
      </c>
      <c r="N61" s="3">
        <v>103.1992</v>
      </c>
      <c r="O61" s="4">
        <f>10*30.0816</f>
        <v>300.81600000000003</v>
      </c>
      <c r="P61" s="3">
        <v>47.628799999999998</v>
      </c>
      <c r="Q61" s="4">
        <f>10*35.9602</f>
        <v>359.60199999999998</v>
      </c>
      <c r="R61" s="3">
        <v>17.506799999999998</v>
      </c>
      <c r="S61" s="4">
        <f>10*41.8298</f>
        <v>418.298</v>
      </c>
      <c r="T61" s="3">
        <v>87.518199999999993</v>
      </c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</row>
    <row r="62" spans="1:256" x14ac:dyDescent="0.25">
      <c r="A62" s="4">
        <v>56.401000000000003</v>
      </c>
      <c r="B62" s="3">
        <v>4.5369000000000002</v>
      </c>
      <c r="C62" s="4">
        <v>65.88</v>
      </c>
      <c r="D62" s="3">
        <v>156.3416</v>
      </c>
      <c r="E62" s="4">
        <v>80.311000000000007</v>
      </c>
      <c r="F62" s="3">
        <v>110.46339999999999</v>
      </c>
      <c r="G62" s="4">
        <v>100.009</v>
      </c>
      <c r="H62" s="3">
        <v>125.7167</v>
      </c>
      <c r="I62" s="4">
        <f>10*14.9727</f>
        <v>149.727</v>
      </c>
      <c r="J62" s="3">
        <v>86.5197</v>
      </c>
      <c r="K62" s="4">
        <f>10*19.9032</f>
        <v>199.03199999999998</v>
      </c>
      <c r="L62" s="3">
        <v>138.21019999999999</v>
      </c>
      <c r="M62" s="4">
        <f>10*24.872</f>
        <v>248.72</v>
      </c>
      <c r="N62" s="3">
        <v>130.8964</v>
      </c>
      <c r="O62" s="4">
        <f>10*30.0191</f>
        <v>300.19100000000003</v>
      </c>
      <c r="P62" s="3">
        <v>62.529699999999998</v>
      </c>
      <c r="Q62" s="4">
        <f>10*35.8855</f>
        <v>358.85500000000002</v>
      </c>
      <c r="R62" s="3">
        <v>21.8612</v>
      </c>
      <c r="S62" s="4">
        <f>10*42.0043</f>
        <v>420.04300000000001</v>
      </c>
      <c r="T62" s="3">
        <v>109.6378</v>
      </c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</row>
    <row r="63" spans="1:256" x14ac:dyDescent="0.25">
      <c r="A63" s="4">
        <v>55.01</v>
      </c>
      <c r="B63" s="3">
        <v>5.2832999999999997</v>
      </c>
      <c r="C63" s="4">
        <v>65.811999999999998</v>
      </c>
      <c r="D63" s="3">
        <v>200.81659999999999</v>
      </c>
      <c r="E63" s="4">
        <v>80.394999999999996</v>
      </c>
      <c r="F63" s="3">
        <v>140.5615</v>
      </c>
      <c r="G63" s="4">
        <v>99.593000000000004</v>
      </c>
      <c r="H63" s="3">
        <v>156.99529999999999</v>
      </c>
      <c r="I63" s="4">
        <f>10*15.0196</f>
        <v>150.196</v>
      </c>
      <c r="J63" s="3">
        <v>108.04810000000001</v>
      </c>
      <c r="K63" s="4">
        <f>10*19.9239</f>
        <v>199.239</v>
      </c>
      <c r="L63" s="3">
        <v>180.8965</v>
      </c>
      <c r="M63" s="4">
        <f>10*25.0017</f>
        <v>250.017</v>
      </c>
      <c r="N63" s="3">
        <v>165.85419999999999</v>
      </c>
      <c r="O63" s="4">
        <f>10*29.9879</f>
        <v>299.87900000000002</v>
      </c>
      <c r="P63" s="3">
        <v>79.397999999999996</v>
      </c>
      <c r="Q63" s="4">
        <f>10*35.8109</f>
        <v>358.10899999999998</v>
      </c>
      <c r="R63" s="3">
        <v>29.122</v>
      </c>
      <c r="S63" s="4">
        <f>10*42.0918</f>
        <v>420.91800000000001</v>
      </c>
      <c r="T63" s="3">
        <v>137.34780000000001</v>
      </c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</row>
    <row r="64" spans="1:256" x14ac:dyDescent="0.25">
      <c r="A64" s="4">
        <v>54.045000000000002</v>
      </c>
      <c r="B64" s="3">
        <v>5.9381000000000004</v>
      </c>
      <c r="C64" s="4">
        <v>65.742999999999995</v>
      </c>
      <c r="D64" s="3">
        <v>247.14449999999999</v>
      </c>
      <c r="E64" s="4">
        <v>79.977999999999994</v>
      </c>
      <c r="F64" s="3">
        <v>179.42099999999999</v>
      </c>
      <c r="G64" s="4">
        <v>99.697000000000003</v>
      </c>
      <c r="H64" s="3">
        <v>194.22399999999999</v>
      </c>
      <c r="I64" s="4">
        <f>10*14.9727</f>
        <v>149.727</v>
      </c>
      <c r="J64" s="3">
        <v>136.49080000000001</v>
      </c>
      <c r="K64" s="4">
        <f>10*19.9446</f>
        <v>199.44600000000003</v>
      </c>
      <c r="L64" s="3">
        <v>233.8211</v>
      </c>
      <c r="M64" s="4">
        <f>10*25.0017</f>
        <v>250.017</v>
      </c>
      <c r="N64" s="3">
        <v>203.67580000000001</v>
      </c>
      <c r="O64" s="4">
        <f>10*29.9567</f>
        <v>299.56700000000001</v>
      </c>
      <c r="P64" s="3">
        <v>99.148399999999995</v>
      </c>
      <c r="Q64" s="4">
        <f>10*35.9976</f>
        <v>359.976</v>
      </c>
      <c r="R64" s="3">
        <v>40.531199999999998</v>
      </c>
      <c r="S64" s="4">
        <f>10*42.0918</f>
        <v>420.91800000000001</v>
      </c>
      <c r="T64" s="3">
        <v>169.0368</v>
      </c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</row>
    <row r="65" spans="1:256" x14ac:dyDescent="0.25">
      <c r="A65" s="4">
        <v>53.374000000000002</v>
      </c>
      <c r="B65" s="3">
        <v>6.7652000000000001</v>
      </c>
      <c r="C65" s="4">
        <v>65.811999999999998</v>
      </c>
      <c r="D65" s="3">
        <v>301.31799999999998</v>
      </c>
      <c r="E65" s="4">
        <v>79.811000000000007</v>
      </c>
      <c r="F65" s="3">
        <v>227.8323</v>
      </c>
      <c r="G65" s="4">
        <v>99.593000000000004</v>
      </c>
      <c r="H65" s="3">
        <v>237.0446</v>
      </c>
      <c r="I65" s="4">
        <f>10*14.9572</f>
        <v>149.572</v>
      </c>
      <c r="J65" s="3">
        <v>171.70269999999999</v>
      </c>
      <c r="K65" s="4">
        <f>10*19.9446</f>
        <v>199.44600000000003</v>
      </c>
      <c r="L65" s="3">
        <v>300.03070000000002</v>
      </c>
      <c r="M65" s="4">
        <f>10*25.0017</f>
        <v>250.017</v>
      </c>
      <c r="N65" s="3">
        <v>258.60910000000001</v>
      </c>
      <c r="O65" s="4">
        <f>10*29.9879</f>
        <v>299.87900000000002</v>
      </c>
      <c r="P65" s="3">
        <v>130.71180000000001</v>
      </c>
      <c r="Q65" s="4">
        <f>10*35.9602</f>
        <v>359.60199999999998</v>
      </c>
      <c r="R65" s="3">
        <v>51.895200000000003</v>
      </c>
      <c r="S65" s="4">
        <f>10*41.9169</f>
        <v>419.16899999999998</v>
      </c>
      <c r="T65" s="3">
        <v>212.42320000000001</v>
      </c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</row>
    <row r="66" spans="1:256" x14ac:dyDescent="0.25">
      <c r="A66" s="4">
        <v>52.110999999999997</v>
      </c>
      <c r="B66" s="3">
        <v>8.2827999999999999</v>
      </c>
      <c r="C66" s="4">
        <v>66.087000000000003</v>
      </c>
      <c r="D66" s="3">
        <v>381.02629999999999</v>
      </c>
      <c r="E66" s="4">
        <v>79.811000000000007</v>
      </c>
      <c r="F66" s="3">
        <v>289.0043</v>
      </c>
      <c r="G66" s="4">
        <v>99.385999999999996</v>
      </c>
      <c r="H66" s="3">
        <v>304.1601</v>
      </c>
      <c r="I66" s="4">
        <f>10*14.9727</f>
        <v>149.727</v>
      </c>
      <c r="J66" s="3">
        <v>219.63419999999999</v>
      </c>
      <c r="K66" s="4">
        <f>10*19.9654</f>
        <v>199.654</v>
      </c>
      <c r="L66" s="3">
        <v>381.39069999999998</v>
      </c>
      <c r="M66" s="4">
        <f>10*24.9757</f>
        <v>249.75700000000001</v>
      </c>
      <c r="N66" s="3">
        <v>336.32870000000003</v>
      </c>
      <c r="O66" s="4">
        <f>10*30.0191</f>
        <v>300.19100000000003</v>
      </c>
      <c r="P66" s="3">
        <v>165.4547</v>
      </c>
      <c r="Q66" s="4">
        <f>10*36.223</f>
        <v>362.23</v>
      </c>
      <c r="R66" s="3">
        <v>64.063699999999997</v>
      </c>
      <c r="S66" s="4">
        <f>10*42.0043</f>
        <v>420.04300000000001</v>
      </c>
      <c r="T66" s="3">
        <v>273.9991</v>
      </c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</row>
    <row r="67" spans="1:256" x14ac:dyDescent="0.25">
      <c r="A67" s="4">
        <v>51.465000000000003</v>
      </c>
      <c r="B67" s="3">
        <v>9.8385999999999996</v>
      </c>
      <c r="C67" s="4">
        <v>66.087000000000003</v>
      </c>
      <c r="D67" s="3">
        <v>464.54640000000001</v>
      </c>
      <c r="E67" s="4">
        <v>79.313999999999993</v>
      </c>
      <c r="F67" s="3">
        <v>371.2183</v>
      </c>
      <c r="G67" s="4">
        <v>99.593000000000004</v>
      </c>
      <c r="H67" s="3">
        <v>375.11090000000002</v>
      </c>
      <c r="I67" s="4">
        <f>10*14.9727</f>
        <v>149.727</v>
      </c>
      <c r="J67" s="3">
        <v>277.45080000000002</v>
      </c>
      <c r="K67" s="4">
        <f>10*19.9446</f>
        <v>199.44600000000003</v>
      </c>
      <c r="L67" s="3">
        <v>469.3854</v>
      </c>
      <c r="M67" s="4">
        <f>10*24.9757</f>
        <v>249.75700000000001</v>
      </c>
      <c r="N67" s="3">
        <v>406.6155</v>
      </c>
      <c r="O67" s="4">
        <f>10*30.0191</f>
        <v>300.19100000000003</v>
      </c>
      <c r="P67" s="3">
        <v>205.53729999999999</v>
      </c>
      <c r="Q67" s="4">
        <f>10*36.0351</f>
        <v>360.351</v>
      </c>
      <c r="R67" s="3">
        <v>79.998099999999994</v>
      </c>
      <c r="S67" s="4">
        <f>10*42.0918</f>
        <v>420.91800000000001</v>
      </c>
      <c r="T67" s="3">
        <v>346.84969999999998</v>
      </c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</row>
    <row r="68" spans="1:256" x14ac:dyDescent="0.25">
      <c r="A68" s="4">
        <v>50.773000000000003</v>
      </c>
      <c r="B68" s="3">
        <v>11.870900000000001</v>
      </c>
      <c r="C68" s="4">
        <v>66.018000000000001</v>
      </c>
      <c r="D68" s="3">
        <v>538.15219999999999</v>
      </c>
      <c r="E68" s="4">
        <v>79.231999999999999</v>
      </c>
      <c r="F68" s="3">
        <v>456.85750000000002</v>
      </c>
      <c r="G68" s="4">
        <v>99.49</v>
      </c>
      <c r="H68" s="3">
        <v>454.00709999999998</v>
      </c>
      <c r="I68" s="4">
        <f>10*14.9105</f>
        <v>149.10500000000002</v>
      </c>
      <c r="J68" s="3">
        <v>356.38630000000001</v>
      </c>
      <c r="K68" s="4">
        <f>10*19.9862</f>
        <v>199.86199999999999</v>
      </c>
      <c r="L68" s="3">
        <v>544.33270000000005</v>
      </c>
      <c r="M68" s="4">
        <f>10*25.0798</f>
        <v>250.798</v>
      </c>
      <c r="N68" s="3">
        <v>503.52350000000001</v>
      </c>
      <c r="O68" s="4">
        <f>10*29.8944</f>
        <v>298.94400000000002</v>
      </c>
      <c r="P68" s="3">
        <v>261.52890000000002</v>
      </c>
      <c r="Q68" s="4">
        <f>10*36.1102</f>
        <v>361.10199999999998</v>
      </c>
      <c r="R68" s="3">
        <v>98.962599999999995</v>
      </c>
      <c r="S68" s="4">
        <f>10*41.9606</f>
        <v>419.60599999999999</v>
      </c>
      <c r="T68" s="3">
        <v>419.8091</v>
      </c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</row>
    <row r="69" spans="1:256" x14ac:dyDescent="0.25">
      <c r="A69" s="4">
        <v>50.3</v>
      </c>
      <c r="B69" s="3">
        <v>14.115399999999999</v>
      </c>
      <c r="C69" s="4">
        <v>66.155000000000001</v>
      </c>
      <c r="D69" s="3">
        <v>588.66060000000004</v>
      </c>
      <c r="E69" s="4">
        <v>79.231999999999999</v>
      </c>
      <c r="F69" s="3">
        <v>527.04139999999995</v>
      </c>
      <c r="G69" s="4">
        <v>100.009</v>
      </c>
      <c r="H69" s="3">
        <v>529.245</v>
      </c>
      <c r="I69" s="4">
        <f>10*14.9883</f>
        <v>149.88300000000001</v>
      </c>
      <c r="J69" s="3">
        <v>453.97460000000001</v>
      </c>
      <c r="K69" s="4">
        <f>10*20.0278</f>
        <v>200.27799999999999</v>
      </c>
      <c r="L69" s="3">
        <v>601.67010000000005</v>
      </c>
      <c r="M69" s="4">
        <f>10*25.1844</f>
        <v>251.84399999999999</v>
      </c>
      <c r="N69" s="3">
        <v>600.5548</v>
      </c>
      <c r="O69" s="4">
        <f>10*29.8944</f>
        <v>298.94400000000002</v>
      </c>
      <c r="P69" s="3">
        <v>330.35289999999998</v>
      </c>
      <c r="Q69" s="4">
        <f>10*36.1854</f>
        <v>361.85400000000004</v>
      </c>
      <c r="R69" s="3">
        <v>122.4228</v>
      </c>
      <c r="S69" s="4">
        <f>10*41.7863</f>
        <v>417.86299999999994</v>
      </c>
      <c r="T69" s="3">
        <v>507.05630000000002</v>
      </c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</row>
    <row r="70" spans="1:256" x14ac:dyDescent="0.25">
      <c r="A70" s="4">
        <v>50.091000000000001</v>
      </c>
      <c r="B70" s="3">
        <v>16.9072</v>
      </c>
      <c r="C70" s="4"/>
      <c r="D70" s="3"/>
      <c r="E70" s="4">
        <v>79.811000000000007</v>
      </c>
      <c r="F70" s="3">
        <v>591.73889999999994</v>
      </c>
      <c r="G70" s="4">
        <v>100.113</v>
      </c>
      <c r="H70" s="3">
        <v>588.04690000000005</v>
      </c>
      <c r="I70" s="4">
        <f>10*15.0509</f>
        <v>150.50900000000001</v>
      </c>
      <c r="J70" s="3">
        <v>530.31979999999999</v>
      </c>
      <c r="K70" s="4"/>
      <c r="L70" s="3"/>
      <c r="M70" s="4"/>
      <c r="N70" s="3"/>
      <c r="O70" s="4">
        <f>10*29.9567</f>
        <v>299.56700000000001</v>
      </c>
      <c r="P70" s="3">
        <v>412.95929999999998</v>
      </c>
      <c r="Q70" s="4">
        <f>10*36.0351</f>
        <v>360.351</v>
      </c>
      <c r="R70" s="3">
        <v>153.99270000000001</v>
      </c>
      <c r="S70" s="4">
        <f>10*41.9169</f>
        <v>419.16899999999998</v>
      </c>
      <c r="T70" s="3">
        <v>597.91589999999997</v>
      </c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</row>
    <row r="71" spans="1:256" x14ac:dyDescent="0.25">
      <c r="A71" s="4">
        <v>50.3</v>
      </c>
      <c r="B71" s="3">
        <v>19.895299999999999</v>
      </c>
      <c r="C71" s="4"/>
      <c r="D71" s="3"/>
      <c r="E71" s="4"/>
      <c r="F71" s="3"/>
      <c r="G71" s="4"/>
      <c r="H71" s="3"/>
      <c r="I71" s="4">
        <f>10*15.0196</f>
        <v>150.196</v>
      </c>
      <c r="J71" s="3">
        <v>589.86180000000002</v>
      </c>
      <c r="K71" s="4"/>
      <c r="L71" s="3"/>
      <c r="M71" s="4"/>
      <c r="N71" s="3"/>
      <c r="O71" s="4">
        <f>10*29.9879</f>
        <v>299.87900000000002</v>
      </c>
      <c r="P71" s="3">
        <v>502.93610000000001</v>
      </c>
      <c r="Q71" s="4">
        <f>10*36.1477</f>
        <v>361.47699999999998</v>
      </c>
      <c r="R71" s="3">
        <v>195.32640000000001</v>
      </c>
      <c r="S71" s="4"/>
      <c r="T71" s="3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</row>
    <row r="72" spans="1:256" x14ac:dyDescent="0.25">
      <c r="A72" s="4">
        <v>50.143000000000001</v>
      </c>
      <c r="B72" s="3">
        <v>24.819800000000001</v>
      </c>
      <c r="C72" s="4"/>
      <c r="D72" s="3"/>
      <c r="E72" s="4"/>
      <c r="F72" s="3"/>
      <c r="G72" s="4"/>
      <c r="H72" s="3"/>
      <c r="I72" s="4"/>
      <c r="J72" s="3"/>
      <c r="K72" s="4"/>
      <c r="L72" s="3"/>
      <c r="M72" s="4"/>
      <c r="N72" s="3"/>
      <c r="O72" s="4">
        <f>10*29.9879</f>
        <v>299.87900000000002</v>
      </c>
      <c r="P72" s="3">
        <v>591.17830000000004</v>
      </c>
      <c r="Q72" s="4">
        <f>10*36.3363</f>
        <v>363.363</v>
      </c>
      <c r="R72" s="3">
        <v>255.89490000000001</v>
      </c>
      <c r="S72" s="4"/>
      <c r="T72" s="3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pans="1:256" x14ac:dyDescent="0.25">
      <c r="A73" s="4">
        <v>50.037999999999997</v>
      </c>
      <c r="B73" s="3">
        <v>29.759899999999998</v>
      </c>
      <c r="C73" s="4"/>
      <c r="D73" s="3"/>
      <c r="E73" s="4"/>
      <c r="F73" s="3"/>
      <c r="G73" s="4"/>
      <c r="H73" s="3"/>
      <c r="I73" s="4"/>
      <c r="J73" s="3"/>
      <c r="K73" s="4"/>
      <c r="L73" s="3"/>
      <c r="M73" s="4"/>
      <c r="N73" s="3"/>
      <c r="O73" s="4"/>
      <c r="P73" s="3"/>
      <c r="Q73" s="4">
        <f>10*36.2607</f>
        <v>362.60699999999997</v>
      </c>
      <c r="R73" s="3">
        <v>324.58049999999997</v>
      </c>
      <c r="S73" s="4"/>
      <c r="T73" s="3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pans="1:256" x14ac:dyDescent="0.25">
      <c r="A74" s="4">
        <v>50.143000000000001</v>
      </c>
      <c r="B74" s="3">
        <v>34.728400000000001</v>
      </c>
      <c r="C74" s="4"/>
      <c r="D74" s="3"/>
      <c r="E74" s="4"/>
      <c r="F74" s="3"/>
      <c r="G74" s="4"/>
      <c r="H74" s="3"/>
      <c r="I74" s="4"/>
      <c r="J74" s="3"/>
      <c r="K74" s="4"/>
      <c r="L74" s="3"/>
      <c r="M74" s="4"/>
      <c r="N74" s="3"/>
      <c r="O74" s="4"/>
      <c r="P74" s="3"/>
      <c r="Q74" s="4">
        <f>10*36.3363</f>
        <v>363.363</v>
      </c>
      <c r="R74" s="3">
        <v>397.77519999999998</v>
      </c>
      <c r="S74" s="4"/>
      <c r="T74" s="3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  <row r="75" spans="1:256" x14ac:dyDescent="0.25">
      <c r="A75" s="4">
        <v>49.933999999999997</v>
      </c>
      <c r="B75" s="3">
        <v>39.731099999999998</v>
      </c>
      <c r="C75" s="4"/>
      <c r="D75" s="3"/>
      <c r="E75" s="4"/>
      <c r="F75" s="3"/>
      <c r="G75" s="4"/>
      <c r="H75" s="3"/>
      <c r="I75" s="4"/>
      <c r="J75" s="3"/>
      <c r="K75" s="4"/>
      <c r="L75" s="3"/>
      <c r="M75" s="4"/>
      <c r="N75" s="3"/>
      <c r="O75" s="4"/>
      <c r="P75" s="3"/>
      <c r="Q75" s="4">
        <f>10*36.2985</f>
        <v>362.98499999999996</v>
      </c>
      <c r="R75" s="3">
        <v>502.9674</v>
      </c>
      <c r="S75" s="4"/>
      <c r="T75" s="3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</row>
    <row r="76" spans="1:256" x14ac:dyDescent="0.25">
      <c r="A76" s="4">
        <v>49.985999999999997</v>
      </c>
      <c r="B76" s="3">
        <v>49.928800000000003</v>
      </c>
      <c r="C76" s="4"/>
      <c r="D76" s="3"/>
      <c r="E76" s="4"/>
      <c r="F76" s="3"/>
      <c r="G76" s="4"/>
      <c r="H76" s="3"/>
      <c r="I76" s="4"/>
      <c r="J76" s="3"/>
      <c r="K76" s="4"/>
      <c r="L76" s="3"/>
      <c r="M76" s="4"/>
      <c r="N76" s="3"/>
      <c r="O76" s="4"/>
      <c r="P76" s="3"/>
      <c r="Q76" s="4">
        <f>10*36.4119</f>
        <v>364.11900000000003</v>
      </c>
      <c r="R76" s="3">
        <v>597.404</v>
      </c>
      <c r="S76" s="4"/>
      <c r="T76" s="3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spans="1:256" x14ac:dyDescent="0.25">
      <c r="A77" s="4">
        <v>49.933999999999997</v>
      </c>
      <c r="B77" s="3">
        <v>59.804099999999998</v>
      </c>
      <c r="C77" s="4"/>
      <c r="D77" s="3"/>
      <c r="E77" s="4"/>
      <c r="F77" s="3"/>
      <c r="G77" s="4"/>
      <c r="H77" s="3"/>
      <c r="I77" s="4"/>
      <c r="J77" s="3"/>
      <c r="K77" s="4"/>
      <c r="L77" s="3"/>
      <c r="M77" s="4"/>
      <c r="N77" s="3"/>
      <c r="O77" s="4"/>
      <c r="P77" s="3"/>
      <c r="Q77" s="4"/>
      <c r="R77" s="3"/>
      <c r="S77" s="4"/>
      <c r="T77" s="3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</row>
    <row r="78" spans="1:256" x14ac:dyDescent="0.25">
      <c r="A78" s="4">
        <v>49.779000000000003</v>
      </c>
      <c r="B78" s="3">
        <v>69.934299999999993</v>
      </c>
      <c r="C78" s="4"/>
      <c r="D78" s="3"/>
      <c r="E78" s="4"/>
      <c r="F78" s="3"/>
      <c r="G78" s="4"/>
      <c r="H78" s="3"/>
      <c r="I78" s="4"/>
      <c r="J78" s="3"/>
      <c r="K78" s="4"/>
      <c r="L78" s="3"/>
      <c r="M78" s="4"/>
      <c r="N78" s="3"/>
      <c r="O78" s="4"/>
      <c r="P78" s="3"/>
      <c r="Q78" s="4"/>
      <c r="R78" s="3"/>
      <c r="S78" s="4"/>
      <c r="T78" s="3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pans="1:256" x14ac:dyDescent="0.25">
      <c r="A79" s="4">
        <v>49.779000000000003</v>
      </c>
      <c r="B79" s="3">
        <v>79.924899999999994</v>
      </c>
      <c r="C79" s="4"/>
      <c r="D79" s="3"/>
      <c r="E79" s="4"/>
      <c r="F79" s="3"/>
      <c r="G79" s="4"/>
      <c r="H79" s="3"/>
      <c r="I79" s="4"/>
      <c r="J79" s="3"/>
      <c r="K79" s="4"/>
      <c r="L79" s="3"/>
      <c r="M79" s="4"/>
      <c r="N79" s="3"/>
      <c r="O79" s="4"/>
      <c r="P79" s="3"/>
      <c r="Q79" s="4"/>
      <c r="R79" s="3"/>
      <c r="S79" s="4"/>
      <c r="T79" s="3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</row>
    <row r="80" spans="1:256" x14ac:dyDescent="0.25">
      <c r="A80" s="4">
        <v>49.779000000000003</v>
      </c>
      <c r="B80" s="3">
        <v>99.293099999999995</v>
      </c>
      <c r="C80" s="4"/>
      <c r="D80" s="3"/>
      <c r="E80" s="4"/>
      <c r="F80" s="3"/>
      <c r="G80" s="4"/>
      <c r="H80" s="3"/>
      <c r="I80" s="4"/>
      <c r="J80" s="3"/>
      <c r="K80" s="4"/>
      <c r="L80" s="3"/>
      <c r="M80" s="4"/>
      <c r="N80" s="3"/>
      <c r="O80" s="4"/>
      <c r="P80" s="3"/>
      <c r="Q80" s="4"/>
      <c r="R80" s="3"/>
      <c r="S80" s="4"/>
      <c r="T80" s="3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</row>
    <row r="81" spans="1:256" x14ac:dyDescent="0.25">
      <c r="A81" s="4">
        <v>49.572000000000003</v>
      </c>
      <c r="B81" s="3">
        <v>120.4303</v>
      </c>
      <c r="C81" s="4"/>
      <c r="D81" s="3"/>
      <c r="E81" s="4"/>
      <c r="F81" s="3"/>
      <c r="G81" s="4"/>
      <c r="H81" s="3"/>
      <c r="I81" s="4"/>
      <c r="J81" s="3"/>
      <c r="K81" s="4"/>
      <c r="L81" s="3"/>
      <c r="M81" s="4"/>
      <c r="N81" s="3"/>
      <c r="O81" s="4"/>
      <c r="P81" s="3"/>
      <c r="Q81" s="4"/>
      <c r="R81" s="3"/>
      <c r="S81" s="4"/>
      <c r="T81" s="3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</row>
    <row r="82" spans="1:256" x14ac:dyDescent="0.25">
      <c r="A82" s="4">
        <v>49.674999999999997</v>
      </c>
      <c r="B82" s="3">
        <v>148.99119999999999</v>
      </c>
      <c r="C82" s="4"/>
      <c r="D82" s="3"/>
      <c r="E82" s="4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4"/>
      <c r="T82" s="3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</row>
    <row r="83" spans="1:256" x14ac:dyDescent="0.25">
      <c r="A83" s="4">
        <v>49.624000000000002</v>
      </c>
      <c r="B83" s="3">
        <v>188.80170000000001</v>
      </c>
      <c r="C83" s="4"/>
      <c r="D83" s="3"/>
      <c r="E83" s="4"/>
      <c r="F83" s="3"/>
      <c r="G83" s="4"/>
      <c r="H83" s="3"/>
      <c r="I83" s="4"/>
      <c r="J83" s="3"/>
      <c r="K83" s="4"/>
      <c r="L83" s="3"/>
      <c r="M83" s="4"/>
      <c r="N83" s="3"/>
      <c r="O83" s="4"/>
      <c r="P83" s="3"/>
      <c r="Q83" s="4"/>
      <c r="R83" s="3"/>
      <c r="S83" s="4"/>
      <c r="T83" s="3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</row>
    <row r="84" spans="1:256" x14ac:dyDescent="0.25">
      <c r="A84" s="4">
        <v>49.572000000000003</v>
      </c>
      <c r="B84" s="3">
        <v>188.60480000000001</v>
      </c>
      <c r="C84" s="4"/>
      <c r="D84" s="3"/>
      <c r="E84" s="4"/>
      <c r="F84" s="3"/>
      <c r="G84" s="4"/>
      <c r="H84" s="3"/>
      <c r="I84" s="4"/>
      <c r="J84" s="3"/>
      <c r="K84" s="4"/>
      <c r="L84" s="3"/>
      <c r="M84" s="4"/>
      <c r="N84" s="3"/>
      <c r="O84" s="4"/>
      <c r="P84" s="3"/>
      <c r="Q84" s="4"/>
      <c r="R84" s="3"/>
      <c r="S84" s="4"/>
      <c r="T84" s="3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</row>
    <row r="85" spans="1:256" x14ac:dyDescent="0.25">
      <c r="A85" s="4">
        <v>49.674999999999997</v>
      </c>
      <c r="B85" s="3">
        <v>296.91699999999997</v>
      </c>
      <c r="C85" s="4"/>
      <c r="D85" s="3"/>
      <c r="E85" s="4"/>
      <c r="F85" s="3"/>
      <c r="G85" s="4"/>
      <c r="H85" s="3"/>
      <c r="I85" s="4"/>
      <c r="J85" s="3"/>
      <c r="K85" s="4"/>
      <c r="L85" s="3"/>
      <c r="M85" s="4"/>
      <c r="N85" s="3"/>
      <c r="O85" s="4"/>
      <c r="P85" s="3"/>
      <c r="Q85" s="4"/>
      <c r="R85" s="3"/>
      <c r="S85" s="4"/>
      <c r="T85" s="3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</row>
    <row r="86" spans="1:256" x14ac:dyDescent="0.25">
      <c r="A86" s="4">
        <v>49.726999999999997</v>
      </c>
      <c r="B86" s="3">
        <v>394.33749999999998</v>
      </c>
      <c r="C86" s="4"/>
      <c r="D86" s="3"/>
      <c r="E86" s="4"/>
      <c r="F86" s="3"/>
      <c r="G86" s="4"/>
      <c r="H86" s="3"/>
      <c r="I86" s="4"/>
      <c r="J86" s="3"/>
      <c r="K86" s="4"/>
      <c r="L86" s="3"/>
      <c r="M86" s="4"/>
      <c r="N86" s="3"/>
      <c r="O86" s="4"/>
      <c r="P86" s="3"/>
      <c r="Q86" s="4"/>
      <c r="R86" s="3"/>
      <c r="S86" s="4"/>
      <c r="T86" s="3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</row>
    <row r="87" spans="1:256" s="5" customFormat="1" x14ac:dyDescent="0.25">
      <c r="A87" s="4">
        <v>49.933999999999997</v>
      </c>
      <c r="B87" s="3">
        <v>497.62369999999999</v>
      </c>
      <c r="C87" s="4"/>
      <c r="D87" s="3"/>
      <c r="E87" s="4"/>
      <c r="F87" s="3"/>
      <c r="G87" s="4"/>
      <c r="H87" s="3"/>
      <c r="I87" s="4"/>
      <c r="J87" s="3"/>
      <c r="K87" s="4"/>
      <c r="L87" s="3"/>
      <c r="M87" s="4"/>
      <c r="N87" s="3"/>
      <c r="O87" s="4"/>
      <c r="P87" s="3"/>
      <c r="Q87" s="4"/>
      <c r="R87" s="3"/>
      <c r="S87" s="4"/>
      <c r="T87" s="3"/>
    </row>
    <row r="88" spans="1:256" s="5" customFormat="1" x14ac:dyDescent="0.25">
      <c r="A88" s="4">
        <v>49.52</v>
      </c>
      <c r="B88" s="3">
        <v>592.94659999999999</v>
      </c>
      <c r="C88" s="4"/>
      <c r="D88" s="3"/>
      <c r="E88" s="4"/>
      <c r="F88" s="3"/>
      <c r="G88" s="4"/>
      <c r="H88" s="3"/>
      <c r="I88" s="4"/>
      <c r="J88" s="3"/>
      <c r="K88" s="4"/>
      <c r="L88" s="3"/>
      <c r="M88" s="4"/>
      <c r="N88" s="3"/>
      <c r="O88" s="4"/>
      <c r="P88" s="3"/>
      <c r="Q88" s="4"/>
      <c r="R88" s="3"/>
      <c r="S88" s="4"/>
      <c r="T88" s="3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6" s="5" customFormat="1" x14ac:dyDescent="0.25">
      <c r="A89" s="4">
        <v>49.726999999999997</v>
      </c>
      <c r="B89" s="3">
        <v>221.2439</v>
      </c>
      <c r="C89" s="4"/>
      <c r="D89" s="3"/>
      <c r="E89" s="4"/>
      <c r="F89" s="3"/>
      <c r="G89" s="4"/>
      <c r="H89" s="3"/>
      <c r="I89" s="4"/>
      <c r="J89" s="3"/>
      <c r="K89" s="4"/>
      <c r="L89" s="3"/>
      <c r="M89" s="4"/>
      <c r="N89" s="3"/>
      <c r="O89" s="4"/>
      <c r="P89" s="3"/>
      <c r="Q89" s="4"/>
      <c r="R89" s="3"/>
      <c r="S89" s="4"/>
      <c r="T89" s="3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6" s="5" customFormat="1" x14ac:dyDescent="0.25">
      <c r="A90" s="17">
        <v>49.624000000000002</v>
      </c>
      <c r="B90" s="18">
        <v>241.50640000000001</v>
      </c>
      <c r="C90" s="17"/>
      <c r="D90" s="18"/>
      <c r="E90" s="17"/>
      <c r="F90" s="18"/>
      <c r="G90" s="17"/>
      <c r="H90" s="18"/>
      <c r="I90" s="17"/>
      <c r="J90" s="18"/>
      <c r="K90" s="17"/>
      <c r="L90" s="18"/>
      <c r="M90" s="17"/>
      <c r="N90" s="18"/>
      <c r="O90" s="17"/>
      <c r="P90" s="18"/>
      <c r="Q90" s="17"/>
      <c r="R90" s="18"/>
      <c r="S90" s="17"/>
      <c r="T90" s="18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6" s="5" customFormat="1" x14ac:dyDescent="0.25"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6" s="5" customFormat="1" x14ac:dyDescent="0.25"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6" s="5" customFormat="1" x14ac:dyDescent="0.25"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6" s="5" customFormat="1" x14ac:dyDescent="0.25">
      <c r="A94" s="7"/>
      <c r="B94" s="7"/>
      <c r="C94" s="25"/>
      <c r="D94" s="26"/>
      <c r="E94" s="25"/>
      <c r="F94" s="26"/>
      <c r="G94" s="7"/>
      <c r="H94" s="7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6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6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6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6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6"/>
      <c r="CM94" s="7"/>
      <c r="CN94" s="7"/>
      <c r="CO94" s="7"/>
      <c r="CP94" s="7"/>
      <c r="CQ94" s="7"/>
      <c r="CR94" s="7"/>
      <c r="CS94" s="7"/>
      <c r="CT94" s="7"/>
      <c r="CU94" s="6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6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6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6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6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6"/>
      <c r="GK94" s="7"/>
      <c r="GL94" s="7"/>
      <c r="GM94" s="7"/>
      <c r="GN94" s="7"/>
      <c r="GO94" s="7"/>
      <c r="GP94" s="7"/>
      <c r="GQ94" s="7"/>
      <c r="GR94" s="7"/>
      <c r="GS94" s="6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6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6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</row>
    <row r="95" spans="1:256" s="5" customFormat="1" x14ac:dyDescent="0.25">
      <c r="A95" s="11"/>
      <c r="B95" s="11"/>
      <c r="C95" s="11"/>
      <c r="D95" s="11"/>
      <c r="E95" s="11"/>
      <c r="F95" s="11"/>
      <c r="G95" s="8"/>
      <c r="H95" s="8"/>
      <c r="I95" s="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6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6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6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6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6"/>
      <c r="CM95" s="11"/>
      <c r="CN95" s="11"/>
      <c r="CO95" s="11"/>
      <c r="CP95" s="11"/>
      <c r="CQ95" s="11"/>
      <c r="CR95" s="11"/>
      <c r="CS95" s="11"/>
      <c r="CT95" s="11"/>
      <c r="CU95" s="6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6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6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6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6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6"/>
      <c r="GK95" s="11"/>
      <c r="GL95" s="11"/>
      <c r="GM95" s="11"/>
      <c r="GN95" s="11"/>
      <c r="GO95" s="11"/>
      <c r="GP95" s="11"/>
      <c r="GQ95" s="11"/>
      <c r="GR95" s="11"/>
      <c r="GS95" s="6"/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6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6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  <c r="IQ95" s="11"/>
      <c r="IR95" s="11"/>
      <c r="IS95" s="11"/>
      <c r="IT95" s="11"/>
      <c r="IU95" s="11"/>
    </row>
    <row r="96" spans="1:256" s="5" customFormat="1" x14ac:dyDescent="0.25">
      <c r="A96" s="12"/>
      <c r="C96" s="12"/>
      <c r="E96" s="12"/>
      <c r="G96" s="6"/>
      <c r="H96" s="6"/>
      <c r="I96" s="6"/>
      <c r="J96" s="12"/>
      <c r="L96" s="12"/>
      <c r="N96" s="12"/>
      <c r="P96" s="12"/>
      <c r="R96" s="12"/>
      <c r="T96" s="6"/>
      <c r="U96" s="12"/>
      <c r="W96" s="12"/>
      <c r="Y96" s="12"/>
      <c r="AA96" s="12"/>
      <c r="AC96" s="12"/>
      <c r="AE96" s="12"/>
      <c r="AG96" s="6"/>
      <c r="AH96" s="12"/>
      <c r="AJ96" s="12"/>
      <c r="AL96" s="12"/>
      <c r="AN96" s="12"/>
      <c r="AP96" s="12"/>
      <c r="AR96" s="12"/>
      <c r="AT96" s="12"/>
      <c r="AV96" s="12"/>
      <c r="AY96" s="12"/>
      <c r="BA96" s="12"/>
      <c r="BC96" s="12"/>
      <c r="BE96" s="12"/>
      <c r="BG96" s="12"/>
      <c r="BI96" s="12"/>
      <c r="BK96" s="12"/>
      <c r="BM96" s="12"/>
      <c r="BO96" s="12"/>
      <c r="BR96" s="12"/>
      <c r="BT96" s="12"/>
      <c r="BV96" s="12"/>
      <c r="BX96" s="12"/>
      <c r="BZ96" s="12"/>
      <c r="CB96" s="12"/>
      <c r="CD96" s="12"/>
      <c r="CF96" s="12"/>
      <c r="CH96" s="12"/>
      <c r="CJ96" s="12"/>
      <c r="CM96" s="12"/>
      <c r="CO96" s="12"/>
      <c r="CQ96" s="12"/>
      <c r="CS96" s="12"/>
      <c r="CV96" s="12"/>
      <c r="CX96" s="12"/>
      <c r="CZ96" s="12"/>
      <c r="DB96" s="12"/>
      <c r="DD96" s="12"/>
      <c r="DF96" s="12"/>
      <c r="DI96" s="12"/>
      <c r="DK96" s="12"/>
      <c r="DM96" s="12"/>
      <c r="DO96" s="12"/>
      <c r="DQ96" s="12"/>
      <c r="DS96" s="12"/>
      <c r="DU96" s="12"/>
      <c r="DW96" s="12"/>
      <c r="DZ96" s="12"/>
      <c r="EB96" s="12"/>
      <c r="ED96" s="12"/>
      <c r="EF96" s="12"/>
      <c r="EH96" s="12"/>
      <c r="EJ96" s="12"/>
      <c r="EL96" s="12"/>
      <c r="EN96" s="12"/>
      <c r="EP96" s="12"/>
      <c r="ER96" s="12"/>
      <c r="EU96" s="12"/>
      <c r="EW96" s="12"/>
      <c r="EY96" s="12"/>
      <c r="FA96" s="12"/>
      <c r="FC96" s="12"/>
      <c r="FE96" s="12"/>
      <c r="FG96" s="12"/>
      <c r="FI96" s="12"/>
      <c r="FK96" s="12"/>
      <c r="FM96" s="12"/>
      <c r="FP96" s="12"/>
      <c r="FR96" s="12"/>
      <c r="FT96" s="12"/>
      <c r="FV96" s="12"/>
      <c r="FX96" s="12"/>
      <c r="FZ96" s="12"/>
      <c r="GB96" s="12"/>
      <c r="GD96" s="12"/>
      <c r="GF96" s="12"/>
      <c r="GH96" s="12"/>
      <c r="GK96" s="12"/>
      <c r="GM96" s="12"/>
      <c r="GO96" s="12"/>
      <c r="GQ96" s="12"/>
      <c r="GT96" s="12"/>
      <c r="GV96" s="12"/>
      <c r="GX96" s="12"/>
      <c r="GZ96" s="12"/>
      <c r="HB96" s="12"/>
      <c r="HD96" s="12"/>
      <c r="HF96" s="12"/>
      <c r="HI96" s="12"/>
      <c r="HK96" s="12"/>
      <c r="HM96" s="12"/>
      <c r="HO96" s="12"/>
      <c r="HQ96" s="12"/>
      <c r="HS96" s="12"/>
      <c r="HU96" s="12"/>
      <c r="HW96" s="12"/>
      <c r="HY96" s="12"/>
      <c r="IB96" s="12"/>
      <c r="ID96" s="12"/>
      <c r="IF96" s="12"/>
      <c r="IH96" s="12"/>
      <c r="IJ96" s="12"/>
      <c r="IL96" s="12"/>
      <c r="IN96" s="12"/>
      <c r="IP96" s="12"/>
      <c r="IR96" s="12"/>
      <c r="IT96" s="12"/>
    </row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pans="1:255" s="5" customFormat="1" x14ac:dyDescent="0.25"/>
    <row r="162" spans="1:255" s="5" customFormat="1" x14ac:dyDescent="0.25"/>
    <row r="163" spans="1:255" s="5" customFormat="1" x14ac:dyDescent="0.25"/>
    <row r="164" spans="1:255" s="5" customFormat="1" x14ac:dyDescent="0.25"/>
    <row r="165" spans="1:255" s="5" customFormat="1" x14ac:dyDescent="0.25"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255" s="5" customForma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5" customForma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5" customForma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5" customForma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5" customForma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5" customForma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5" customForma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6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6"/>
      <c r="AQ172" s="7"/>
      <c r="AR172" s="7"/>
      <c r="AS172" s="7"/>
      <c r="AT172" s="7"/>
      <c r="AU172" s="7"/>
      <c r="AV172" s="7"/>
      <c r="AW172" s="7"/>
      <c r="AX172" s="7"/>
      <c r="AY172" s="6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6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6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6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6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6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6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6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6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6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5" customForma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6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Q173" s="11"/>
      <c r="AR173" s="11"/>
      <c r="AS173" s="11"/>
      <c r="AT173" s="11"/>
      <c r="AU173" s="11"/>
      <c r="AV173" s="11"/>
      <c r="AW173" s="11"/>
      <c r="AX173" s="11"/>
      <c r="AY173" s="6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6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6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6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6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6"/>
      <c r="EU173" s="11"/>
      <c r="EV173" s="11"/>
      <c r="EW173" s="11"/>
      <c r="EX173" s="11"/>
      <c r="EY173" s="11"/>
      <c r="EZ173" s="11"/>
      <c r="FA173" s="11"/>
      <c r="FB173" s="11"/>
      <c r="FC173" s="11"/>
      <c r="FD173" s="11"/>
      <c r="FE173" s="6"/>
      <c r="FF173" s="11"/>
      <c r="FG173" s="11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6"/>
      <c r="FW173" s="11"/>
      <c r="FX173" s="11"/>
      <c r="FY173" s="11"/>
      <c r="FZ173" s="11"/>
      <c r="GA173" s="11"/>
      <c r="GB173" s="11"/>
      <c r="GC173" s="11"/>
      <c r="GD173" s="11"/>
      <c r="GE173" s="11"/>
      <c r="GF173" s="11"/>
      <c r="GG173" s="11"/>
      <c r="GH173" s="11"/>
      <c r="GI173" s="11"/>
      <c r="GJ173" s="11"/>
      <c r="GK173" s="11"/>
      <c r="GL173" s="11"/>
      <c r="GM173" s="11"/>
      <c r="GN173" s="11"/>
      <c r="GO173" s="11"/>
      <c r="GP173" s="11"/>
      <c r="GQ173" s="6"/>
      <c r="GR173" s="11"/>
      <c r="GS173" s="11"/>
      <c r="GT173" s="11"/>
      <c r="GU173" s="11"/>
      <c r="GV173" s="11"/>
      <c r="GW173" s="11"/>
      <c r="GX173" s="11"/>
      <c r="GY173" s="11"/>
      <c r="GZ173" s="11"/>
      <c r="HA173" s="11"/>
      <c r="HB173" s="11"/>
      <c r="HC173" s="11"/>
      <c r="HD173" s="11"/>
      <c r="HE173" s="11"/>
      <c r="HF173" s="11"/>
      <c r="HG173" s="11"/>
      <c r="HH173" s="11"/>
      <c r="HI173" s="11"/>
      <c r="HJ173" s="11"/>
      <c r="HK173" s="11"/>
      <c r="HL173" s="6"/>
      <c r="HM173" s="11"/>
      <c r="HN173" s="11"/>
      <c r="HO173" s="11"/>
      <c r="HP173" s="11"/>
      <c r="HQ173" s="11"/>
      <c r="HR173" s="11"/>
      <c r="HS173" s="11"/>
      <c r="HT173" s="11"/>
      <c r="HU173" s="11"/>
      <c r="HV173" s="11"/>
      <c r="HW173" s="11"/>
      <c r="HX173" s="11"/>
      <c r="HY173" s="11"/>
      <c r="HZ173" s="11"/>
      <c r="IA173" s="11"/>
      <c r="IB173" s="11"/>
      <c r="IC173" s="11"/>
      <c r="ID173" s="11"/>
      <c r="IE173" s="11"/>
      <c r="IF173" s="11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5" customFormat="1" x14ac:dyDescent="0.25">
      <c r="A174" s="12"/>
      <c r="C174" s="12"/>
      <c r="E174" s="12"/>
      <c r="G174" s="12"/>
      <c r="I174" s="12"/>
      <c r="K174" s="12"/>
      <c r="M174" s="12"/>
      <c r="O174" s="12"/>
      <c r="Q174" s="12"/>
      <c r="S174" s="12"/>
      <c r="V174" s="12"/>
      <c r="X174" s="12"/>
      <c r="Z174" s="12"/>
      <c r="AB174" s="12"/>
      <c r="AD174" s="12"/>
      <c r="AF174" s="12"/>
      <c r="AH174" s="12"/>
      <c r="AJ174" s="12"/>
      <c r="AL174" s="12"/>
      <c r="AN174" s="12"/>
      <c r="AQ174" s="12"/>
      <c r="AS174" s="12"/>
      <c r="AU174" s="12"/>
      <c r="AW174" s="12"/>
      <c r="AZ174" s="12"/>
      <c r="BB174" s="12"/>
      <c r="BD174" s="12"/>
      <c r="BF174" s="12"/>
      <c r="BH174" s="12"/>
      <c r="BJ174" s="12"/>
      <c r="BL174" s="12"/>
      <c r="BO174" s="12"/>
      <c r="BQ174" s="12"/>
      <c r="BS174" s="12"/>
      <c r="BU174" s="12"/>
      <c r="BW174" s="12"/>
      <c r="BY174" s="12"/>
      <c r="CA174" s="12"/>
      <c r="CC174" s="12"/>
      <c r="CE174" s="12"/>
      <c r="CG174" s="12"/>
      <c r="CJ174" s="12"/>
      <c r="CL174" s="12"/>
      <c r="CN174" s="12"/>
      <c r="CP174" s="12"/>
      <c r="CR174" s="12"/>
      <c r="CT174" s="12"/>
      <c r="CV174" s="12"/>
      <c r="CX174" s="12"/>
      <c r="CZ174" s="12"/>
      <c r="DB174" s="12"/>
      <c r="DE174" s="12"/>
      <c r="DG174" s="12"/>
      <c r="DI174" s="12"/>
      <c r="DK174" s="12"/>
      <c r="DM174" s="12"/>
      <c r="DO174" s="12"/>
      <c r="DQ174" s="12"/>
      <c r="DS174" s="12"/>
      <c r="DU174" s="12"/>
      <c r="DW174" s="12"/>
      <c r="DZ174" s="12"/>
      <c r="EB174" s="12"/>
      <c r="ED174" s="12"/>
      <c r="EF174" s="12"/>
      <c r="EH174" s="12"/>
      <c r="EJ174" s="12"/>
      <c r="EL174" s="12"/>
      <c r="EN174" s="12"/>
      <c r="EP174" s="12"/>
      <c r="ER174" s="12"/>
      <c r="EU174" s="12"/>
      <c r="EW174" s="12"/>
      <c r="EY174" s="12"/>
      <c r="FA174" s="12"/>
      <c r="FC174" s="12"/>
      <c r="FF174" s="12"/>
      <c r="FH174" s="12"/>
      <c r="FJ174" s="12"/>
      <c r="FL174" s="12"/>
      <c r="FN174" s="12"/>
      <c r="FP174" s="12"/>
      <c r="FR174" s="12"/>
      <c r="FT174" s="12"/>
      <c r="FW174" s="12"/>
      <c r="FY174" s="12"/>
      <c r="GA174" s="12"/>
      <c r="GC174" s="12"/>
      <c r="GE174" s="12"/>
      <c r="GG174" s="12"/>
      <c r="GI174" s="12"/>
      <c r="GK174" s="12"/>
      <c r="GM174" s="12"/>
      <c r="GO174" s="12"/>
      <c r="GR174" s="12"/>
      <c r="GT174" s="12"/>
      <c r="GV174" s="12"/>
      <c r="GX174" s="12"/>
      <c r="GZ174" s="12"/>
      <c r="HB174" s="12"/>
      <c r="HD174" s="12"/>
      <c r="HF174" s="12"/>
      <c r="HH174" s="12"/>
      <c r="HJ174" s="12"/>
      <c r="HM174" s="12"/>
      <c r="HO174" s="12"/>
      <c r="HQ174" s="12"/>
      <c r="HS174" s="12"/>
      <c r="HU174" s="12"/>
      <c r="HW174" s="12"/>
      <c r="HY174" s="12"/>
      <c r="IA174" s="12"/>
      <c r="IC174" s="12"/>
      <c r="IE174" s="12"/>
    </row>
    <row r="175" spans="1:255" s="5" customFormat="1" x14ac:dyDescent="0.25"/>
    <row r="176" spans="1:255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pans="1:20" s="5" customFormat="1" x14ac:dyDescent="0.25"/>
    <row r="226" spans="1:20" s="5" customFormat="1" x14ac:dyDescent="0.25"/>
    <row r="227" spans="1:20" s="5" customFormat="1" x14ac:dyDescent="0.25"/>
    <row r="228" spans="1:20" s="5" customFormat="1" x14ac:dyDescent="0.25"/>
    <row r="229" spans="1:20" s="5" customFormat="1" x14ac:dyDescent="0.25"/>
    <row r="230" spans="1:20" s="5" customFormat="1" x14ac:dyDescent="0.25"/>
    <row r="231" spans="1:20" s="5" customFormat="1" x14ac:dyDescent="0.25"/>
    <row r="232" spans="1:20" s="5" customFormat="1" x14ac:dyDescent="0.25"/>
    <row r="233" spans="1:20" s="5" customFormat="1" x14ac:dyDescent="0.25"/>
    <row r="234" spans="1:20" s="5" customFormat="1" x14ac:dyDescent="0.25"/>
    <row r="235" spans="1:20" s="5" customFormat="1" x14ac:dyDescent="0.25"/>
    <row r="236" spans="1:20" s="5" customFormat="1" x14ac:dyDescent="0.25"/>
    <row r="237" spans="1:20" s="5" customForma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s="5" customForma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s="5" customForma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s="5" customForma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s="5" customForma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s="5" customForma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s="5" customForma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1:20" s="5" customForma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</row>
    <row r="245" spans="1:20" s="5" customFormat="1" x14ac:dyDescent="0.25">
      <c r="A245" s="12"/>
      <c r="C245" s="12"/>
      <c r="E245" s="12"/>
      <c r="G245" s="12"/>
      <c r="I245" s="12"/>
      <c r="K245" s="12"/>
      <c r="M245" s="12"/>
      <c r="O245" s="12"/>
      <c r="Q245" s="12"/>
      <c r="S245" s="12"/>
    </row>
    <row r="246" spans="1:20" s="5" customFormat="1" x14ac:dyDescent="0.25"/>
    <row r="247" spans="1:20" s="5" customFormat="1" x14ac:dyDescent="0.25"/>
    <row r="248" spans="1:20" s="5" customFormat="1" x14ac:dyDescent="0.25"/>
    <row r="249" spans="1:20" s="5" customFormat="1" x14ac:dyDescent="0.25"/>
    <row r="250" spans="1:20" s="5" customFormat="1" x14ac:dyDescent="0.25"/>
    <row r="251" spans="1:20" s="5" customFormat="1" x14ac:dyDescent="0.25"/>
    <row r="252" spans="1:20" s="5" customFormat="1" x14ac:dyDescent="0.25"/>
    <row r="253" spans="1:20" s="5" customFormat="1" x14ac:dyDescent="0.25"/>
    <row r="254" spans="1:20" s="5" customFormat="1" x14ac:dyDescent="0.25"/>
    <row r="255" spans="1:20" s="5" customFormat="1" x14ac:dyDescent="0.25"/>
    <row r="256" spans="1:20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pans="42:42" s="5" customFormat="1" x14ac:dyDescent="0.25"/>
    <row r="290" spans="42:42" s="5" customFormat="1" x14ac:dyDescent="0.25"/>
    <row r="291" spans="42:42" s="5" customFormat="1" x14ac:dyDescent="0.25"/>
    <row r="292" spans="42:42" s="5" customFormat="1" x14ac:dyDescent="0.25"/>
    <row r="293" spans="42:42" s="5" customFormat="1" x14ac:dyDescent="0.25"/>
    <row r="294" spans="42:42" s="5" customFormat="1" x14ac:dyDescent="0.25"/>
    <row r="295" spans="42:42" s="5" customFormat="1" x14ac:dyDescent="0.25"/>
    <row r="296" spans="42:42" s="5" customFormat="1" x14ac:dyDescent="0.25"/>
    <row r="297" spans="42:42" s="5" customFormat="1" x14ac:dyDescent="0.25"/>
    <row r="298" spans="42:42" s="5" customFormat="1" x14ac:dyDescent="0.25"/>
    <row r="299" spans="42:42" s="5" customFormat="1" x14ac:dyDescent="0.25"/>
    <row r="300" spans="42:42" s="5" customFormat="1" x14ac:dyDescent="0.25"/>
    <row r="301" spans="42:42" s="5" customFormat="1" x14ac:dyDescent="0.25"/>
    <row r="302" spans="42:42" s="5" customFormat="1" x14ac:dyDescent="0.25"/>
    <row r="303" spans="42:42" s="5" customFormat="1" x14ac:dyDescent="0.25"/>
    <row r="304" spans="42:42" s="5" customFormat="1" x14ac:dyDescent="0.25">
      <c r="AP304" s="6"/>
    </row>
    <row r="305" spans="1:112" s="5" customFormat="1" x14ac:dyDescent="0.25">
      <c r="AP305" s="6"/>
    </row>
    <row r="306" spans="1:112" s="5" customFormat="1" x14ac:dyDescent="0.25">
      <c r="AP306" s="6"/>
    </row>
    <row r="307" spans="1:112" s="5" customFormat="1" x14ac:dyDescent="0.25">
      <c r="AP307" s="6"/>
    </row>
    <row r="308" spans="1:112" s="5" customForma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</row>
    <row r="309" spans="1:112" s="5" customForma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</row>
    <row r="310" spans="1:112" s="5" customForma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</row>
    <row r="311" spans="1:112" s="5" customForma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</row>
    <row r="312" spans="1:112" s="5" customForma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</row>
    <row r="313" spans="1:112" s="5" customForma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</row>
    <row r="314" spans="1:112" s="5" customForma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6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6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6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6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6"/>
      <c r="DB314" s="6"/>
      <c r="DC314" s="6"/>
      <c r="DD314" s="6"/>
      <c r="DE314" s="6"/>
      <c r="DF314" s="6"/>
      <c r="DG314" s="6"/>
      <c r="DH314" s="6"/>
    </row>
    <row r="315" spans="1:112" s="5" customForma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6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6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6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6"/>
      <c r="DB315" s="6"/>
      <c r="DC315" s="6"/>
      <c r="DD315" s="6"/>
      <c r="DE315" s="6"/>
      <c r="DF315" s="6"/>
      <c r="DG315" s="6"/>
      <c r="DH315" s="6"/>
    </row>
    <row r="316" spans="1:112" s="5" customFormat="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4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4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4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4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6"/>
      <c r="DB316" s="6"/>
      <c r="DC316" s="6"/>
      <c r="DD316" s="6"/>
      <c r="DE316" s="6"/>
      <c r="DF316" s="6"/>
      <c r="DG316" s="6"/>
      <c r="DH316" s="6"/>
    </row>
    <row r="317" spans="1:112" s="5" customFormat="1" x14ac:dyDescent="0.25">
      <c r="A317" s="12"/>
      <c r="C317" s="12"/>
      <c r="E317" s="12"/>
      <c r="G317" s="12"/>
      <c r="I317" s="12"/>
      <c r="K317" s="12"/>
      <c r="M317" s="12"/>
      <c r="O317" s="12"/>
      <c r="Q317" s="12"/>
      <c r="S317" s="12"/>
      <c r="V317" s="12"/>
      <c r="X317" s="12"/>
      <c r="Z317" s="12"/>
      <c r="AB317" s="12"/>
      <c r="AD317" s="12"/>
      <c r="AF317" s="12"/>
      <c r="AH317" s="12"/>
      <c r="AJ317" s="12"/>
      <c r="AL317" s="12"/>
      <c r="AN317" s="12"/>
      <c r="AQ317" s="12"/>
      <c r="AS317" s="12"/>
      <c r="AU317" s="12"/>
      <c r="AW317" s="12"/>
      <c r="AY317" s="12"/>
      <c r="BA317" s="12"/>
      <c r="BC317" s="12"/>
      <c r="BE317" s="12"/>
      <c r="BG317" s="12"/>
      <c r="BI317" s="12"/>
      <c r="BL317" s="12"/>
      <c r="BN317" s="12"/>
      <c r="BP317" s="12"/>
      <c r="BR317" s="12"/>
      <c r="BT317" s="12"/>
      <c r="BV317" s="12"/>
      <c r="BX317" s="12"/>
      <c r="BZ317" s="12"/>
      <c r="CB317" s="12"/>
      <c r="CD317" s="12"/>
      <c r="CG317" s="12"/>
      <c r="CI317" s="12"/>
      <c r="CK317" s="12"/>
      <c r="CM317" s="12"/>
      <c r="CO317" s="12"/>
      <c r="CQ317" s="12"/>
      <c r="CS317" s="12"/>
      <c r="CU317" s="12"/>
      <c r="CW317" s="12"/>
      <c r="CY317" s="12"/>
    </row>
    <row r="318" spans="1:112" s="5" customFormat="1" x14ac:dyDescent="0.25"/>
    <row r="319" spans="1:112" s="5" customFormat="1" x14ac:dyDescent="0.25"/>
    <row r="320" spans="1:112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pans="1:104" s="5" customFormat="1" x14ac:dyDescent="0.25"/>
    <row r="370" spans="1:104" s="5" customFormat="1" x14ac:dyDescent="0.25"/>
    <row r="371" spans="1:104" s="5" customFormat="1" x14ac:dyDescent="0.25"/>
    <row r="372" spans="1:104" s="5" customFormat="1" x14ac:dyDescent="0.25"/>
    <row r="373" spans="1:104" s="5" customFormat="1" x14ac:dyDescent="0.25"/>
    <row r="374" spans="1:104" s="5" customFormat="1" x14ac:dyDescent="0.25"/>
    <row r="375" spans="1:104" s="5" customFormat="1" x14ac:dyDescent="0.25"/>
    <row r="376" spans="1:104" s="5" customFormat="1" x14ac:dyDescent="0.25"/>
    <row r="377" spans="1:104" s="5" customFormat="1" x14ac:dyDescent="0.25"/>
    <row r="378" spans="1:104" s="5" customForma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5"/>
      <c r="CD378" s="15"/>
      <c r="CE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  <c r="CR378" s="15"/>
      <c r="CS378" s="15"/>
      <c r="CT378" s="15"/>
      <c r="CU378" s="15"/>
      <c r="CV378" s="15"/>
      <c r="CW378" s="15"/>
      <c r="CX378" s="15"/>
      <c r="CY378" s="15"/>
      <c r="CZ378" s="15"/>
    </row>
    <row r="379" spans="1:104" s="5" customForma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5"/>
      <c r="CD379" s="15"/>
      <c r="CE379" s="15"/>
      <c r="CG379" s="15"/>
      <c r="CH379" s="15"/>
      <c r="CI379" s="15"/>
      <c r="CJ379" s="15"/>
      <c r="CK379" s="15"/>
      <c r="CL379" s="15"/>
      <c r="CM379" s="15"/>
      <c r="CN379" s="15"/>
      <c r="CO379" s="15"/>
      <c r="CP379" s="15"/>
      <c r="CQ379" s="15"/>
      <c r="CR379" s="15"/>
      <c r="CS379" s="15"/>
      <c r="CT379" s="15"/>
      <c r="CU379" s="15"/>
      <c r="CV379" s="15"/>
      <c r="CW379" s="15"/>
      <c r="CX379" s="15"/>
      <c r="CY379" s="15"/>
      <c r="CZ379" s="15"/>
    </row>
    <row r="380" spans="1:104" s="5" customForma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  <c r="BY380" s="15"/>
      <c r="BZ380" s="15"/>
      <c r="CA380" s="15"/>
      <c r="CB380" s="15"/>
      <c r="CC380" s="15"/>
      <c r="CD380" s="15"/>
      <c r="CE380" s="15"/>
      <c r="CG380" s="15"/>
      <c r="CH380" s="15"/>
      <c r="CI380" s="15"/>
      <c r="CJ380" s="15"/>
      <c r="CK380" s="15"/>
      <c r="CL380" s="15"/>
      <c r="CM380" s="15"/>
      <c r="CN380" s="15"/>
      <c r="CO380" s="15"/>
      <c r="CP380" s="15"/>
      <c r="CQ380" s="15"/>
      <c r="CR380" s="15"/>
      <c r="CS380" s="15"/>
      <c r="CT380" s="15"/>
      <c r="CU380" s="15"/>
      <c r="CV380" s="15"/>
      <c r="CW380" s="15"/>
      <c r="CX380" s="15"/>
      <c r="CY380" s="15"/>
      <c r="CZ380" s="15"/>
    </row>
    <row r="381" spans="1:104" s="5" customForma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  <c r="BY381" s="15"/>
      <c r="BZ381" s="15"/>
      <c r="CA381" s="15"/>
      <c r="CB381" s="15"/>
      <c r="CC381" s="15"/>
      <c r="CD381" s="15"/>
      <c r="CE381" s="15"/>
      <c r="CG381" s="15"/>
      <c r="CH381" s="15"/>
      <c r="CI381" s="15"/>
      <c r="CJ381" s="15"/>
      <c r="CK381" s="15"/>
      <c r="CL381" s="15"/>
      <c r="CM381" s="15"/>
      <c r="CN381" s="15"/>
      <c r="CO381" s="15"/>
      <c r="CP381" s="15"/>
      <c r="CQ381" s="15"/>
      <c r="CR381" s="15"/>
      <c r="CS381" s="15"/>
      <c r="CT381" s="15"/>
      <c r="CU381" s="15"/>
      <c r="CV381" s="15"/>
      <c r="CW381" s="15"/>
      <c r="CX381" s="15"/>
      <c r="CY381" s="15"/>
      <c r="CZ381" s="15"/>
    </row>
    <row r="382" spans="1:104" s="5" customForma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  <c r="BY382" s="15"/>
      <c r="BZ382" s="15"/>
      <c r="CA382" s="15"/>
      <c r="CB382" s="15"/>
      <c r="CC382" s="15"/>
      <c r="CD382" s="15"/>
      <c r="CE382" s="15"/>
      <c r="CG382" s="15"/>
      <c r="CH382" s="15"/>
      <c r="CI382" s="15"/>
      <c r="CJ382" s="15"/>
      <c r="CK382" s="15"/>
      <c r="CL382" s="15"/>
      <c r="CM382" s="15"/>
      <c r="CN382" s="15"/>
      <c r="CO382" s="15"/>
      <c r="CP382" s="15"/>
      <c r="CQ382" s="15"/>
      <c r="CR382" s="15"/>
      <c r="CS382" s="15"/>
      <c r="CT382" s="15"/>
      <c r="CU382" s="15"/>
      <c r="CV382" s="15"/>
      <c r="CW382" s="15"/>
      <c r="CX382" s="15"/>
      <c r="CY382" s="15"/>
      <c r="CZ382" s="15"/>
    </row>
    <row r="383" spans="1:104" s="5" customForma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5"/>
      <c r="CD383" s="15"/>
      <c r="CE383" s="15"/>
      <c r="CG383" s="15"/>
      <c r="CH383" s="15"/>
      <c r="CI383" s="15"/>
      <c r="CJ383" s="15"/>
      <c r="CK383" s="15"/>
      <c r="CL383" s="15"/>
      <c r="CM383" s="15"/>
      <c r="CN383" s="15"/>
      <c r="CO383" s="15"/>
      <c r="CP383" s="15"/>
      <c r="CQ383" s="15"/>
      <c r="CR383" s="15"/>
      <c r="CS383" s="15"/>
      <c r="CT383" s="15"/>
      <c r="CU383" s="15"/>
      <c r="CV383" s="15"/>
      <c r="CW383" s="15"/>
      <c r="CX383" s="15"/>
      <c r="CY383" s="15"/>
      <c r="CZ383" s="15"/>
    </row>
    <row r="384" spans="1:104" s="5" customFormat="1" x14ac:dyDescent="0.25">
      <c r="A384" s="7"/>
      <c r="B384" s="7"/>
    </row>
    <row r="385" spans="1:86" s="5" customForma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1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16"/>
      <c r="AR385" s="6"/>
      <c r="AS385" s="6"/>
      <c r="AT385" s="6"/>
      <c r="AU385" s="6"/>
      <c r="AV385" s="6"/>
      <c r="AW385" s="6"/>
      <c r="AX385" s="16"/>
      <c r="AY385" s="16"/>
      <c r="AZ385" s="16"/>
      <c r="BA385" s="6"/>
      <c r="BB385" s="6"/>
      <c r="BC385" s="6"/>
      <c r="BD385" s="6"/>
      <c r="BE385" s="6"/>
      <c r="BF385" s="6"/>
      <c r="BG385" s="16"/>
      <c r="BH385" s="16"/>
      <c r="BI385" s="16"/>
      <c r="BJ385" s="6"/>
      <c r="BK385" s="6"/>
      <c r="BL385" s="6"/>
      <c r="BM385" s="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  <c r="CF385" s="16"/>
      <c r="CG385" s="16"/>
      <c r="CH385" s="16"/>
    </row>
    <row r="386" spans="1:86" s="5" customForma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1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16"/>
      <c r="AR386" s="6"/>
      <c r="AS386" s="6"/>
      <c r="AT386" s="6"/>
      <c r="AU386" s="6"/>
      <c r="AV386" s="6"/>
      <c r="AW386" s="6"/>
      <c r="AX386" s="16"/>
      <c r="AY386" s="16"/>
      <c r="AZ386" s="16"/>
      <c r="BA386" s="6"/>
      <c r="BB386" s="6"/>
      <c r="BC386" s="6"/>
      <c r="BD386" s="6"/>
      <c r="BE386" s="6"/>
      <c r="BF386" s="6"/>
      <c r="BG386" s="16"/>
      <c r="BH386" s="16"/>
      <c r="BI386" s="16"/>
      <c r="BJ386" s="6"/>
      <c r="BK386" s="6"/>
      <c r="BL386" s="6"/>
      <c r="BM386" s="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  <c r="CG386" s="16"/>
      <c r="CH386" s="16"/>
    </row>
    <row r="387" spans="1:86" s="5" customForma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1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16"/>
      <c r="AR387" s="6"/>
      <c r="AS387" s="6"/>
      <c r="AT387" s="6"/>
      <c r="AU387" s="6"/>
      <c r="AV387" s="6"/>
      <c r="AW387" s="6"/>
      <c r="AX387" s="16"/>
      <c r="AY387" s="16"/>
      <c r="AZ387" s="16"/>
      <c r="BA387" s="6"/>
      <c r="BB387" s="6"/>
      <c r="BC387" s="6"/>
      <c r="BD387" s="6"/>
      <c r="BE387" s="6"/>
      <c r="BF387" s="6"/>
      <c r="BG387" s="16"/>
      <c r="BH387" s="16"/>
      <c r="BI387" s="16"/>
      <c r="BJ387" s="6"/>
      <c r="BK387" s="6"/>
      <c r="BL387" s="6"/>
      <c r="BM387" s="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  <c r="CF387" s="16"/>
      <c r="CG387" s="16"/>
      <c r="CH387" s="16"/>
    </row>
    <row r="388" spans="1:86" s="5" customForma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1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16"/>
      <c r="AR388" s="6"/>
      <c r="AS388" s="6"/>
      <c r="AT388" s="6"/>
      <c r="AU388" s="6"/>
      <c r="AV388" s="6"/>
      <c r="AW388" s="6"/>
      <c r="AX388" s="16"/>
      <c r="AY388" s="16"/>
      <c r="AZ388" s="16"/>
      <c r="BA388" s="6"/>
      <c r="BB388" s="6"/>
      <c r="BC388" s="6"/>
      <c r="BD388" s="6"/>
      <c r="BE388" s="6"/>
      <c r="BF388" s="6"/>
      <c r="BG388" s="16"/>
      <c r="BH388" s="16"/>
      <c r="BI388" s="16"/>
      <c r="BJ388" s="6"/>
      <c r="BK388" s="6"/>
      <c r="BL388" s="6"/>
      <c r="BM388" s="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/>
      <c r="CG388" s="16"/>
      <c r="CH388" s="16"/>
    </row>
    <row r="389" spans="1:86" s="5" customForma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1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16"/>
      <c r="AR389" s="6"/>
      <c r="AS389" s="6"/>
      <c r="AT389" s="6"/>
      <c r="AU389" s="6"/>
      <c r="AV389" s="6"/>
      <c r="AW389" s="6"/>
      <c r="AX389" s="16"/>
      <c r="AY389" s="16"/>
      <c r="AZ389" s="16"/>
      <c r="BA389" s="6"/>
      <c r="BB389" s="6"/>
      <c r="BC389" s="6"/>
      <c r="BD389" s="6"/>
      <c r="BE389" s="6"/>
      <c r="BF389" s="6"/>
      <c r="BG389" s="16"/>
      <c r="BH389" s="16"/>
      <c r="BI389" s="16"/>
      <c r="BJ389" s="6"/>
      <c r="BK389" s="6"/>
      <c r="BL389" s="6"/>
      <c r="BM389" s="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  <c r="CF389" s="16"/>
      <c r="CG389" s="16"/>
      <c r="CH389" s="16"/>
    </row>
    <row r="390" spans="1:86" s="5" customForma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1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1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16"/>
      <c r="AR390" s="6"/>
      <c r="AS390" s="6"/>
      <c r="AT390" s="6"/>
      <c r="AU390" s="6"/>
      <c r="AV390" s="6"/>
      <c r="AW390" s="6"/>
      <c r="AX390" s="16"/>
      <c r="AY390" s="16"/>
      <c r="AZ390" s="16"/>
      <c r="BA390" s="6"/>
      <c r="BB390" s="6"/>
      <c r="BC390" s="6"/>
      <c r="BD390" s="6"/>
      <c r="BE390" s="6"/>
      <c r="BF390" s="6"/>
      <c r="BG390" s="16"/>
      <c r="BH390" s="16"/>
      <c r="BI390" s="16"/>
      <c r="BJ390" s="6"/>
      <c r="BK390" s="6"/>
      <c r="BL390" s="6"/>
      <c r="BM390" s="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  <c r="BY390" s="16"/>
      <c r="BZ390" s="16"/>
      <c r="CA390" s="16"/>
      <c r="CB390" s="16"/>
      <c r="CC390" s="16"/>
      <c r="CD390" s="16"/>
      <c r="CE390" s="16"/>
      <c r="CF390" s="16"/>
      <c r="CG390" s="16"/>
      <c r="CH390" s="16"/>
    </row>
    <row r="391" spans="1:86" s="5" customForma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16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16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16"/>
      <c r="AR391" s="7"/>
      <c r="AS391" s="7"/>
      <c r="AT391" s="7"/>
      <c r="AU391" s="7"/>
      <c r="AV391" s="7"/>
      <c r="AW391" s="7"/>
      <c r="AX391" s="9"/>
      <c r="AY391" s="9"/>
      <c r="AZ391" s="16"/>
      <c r="BA391" s="7"/>
      <c r="BB391" s="7"/>
      <c r="BC391" s="7"/>
      <c r="BD391" s="7"/>
      <c r="BE391" s="25"/>
      <c r="BF391" s="26"/>
      <c r="BG391" s="9"/>
      <c r="BH391" s="9"/>
      <c r="BI391" s="16"/>
      <c r="BJ391" s="7"/>
      <c r="BK391" s="7"/>
      <c r="BL391" s="7"/>
      <c r="BM391" s="7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  <c r="BY391" s="16"/>
      <c r="BZ391" s="16"/>
      <c r="CA391" s="16"/>
      <c r="CB391" s="16"/>
      <c r="CC391" s="16"/>
      <c r="CD391" s="16"/>
      <c r="CE391" s="16"/>
      <c r="CF391" s="16"/>
      <c r="CG391" s="16"/>
      <c r="CH391" s="16"/>
    </row>
    <row r="392" spans="1:86" s="5" customForma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6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6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6"/>
      <c r="AR392" s="11"/>
      <c r="AS392" s="11"/>
      <c r="AT392" s="11"/>
      <c r="AU392" s="11"/>
      <c r="AV392" s="11"/>
      <c r="AW392" s="11"/>
      <c r="AX392" s="10"/>
      <c r="AY392" s="10"/>
      <c r="AZ392" s="16"/>
      <c r="BA392" s="11"/>
      <c r="BB392" s="11"/>
      <c r="BC392" s="11"/>
      <c r="BD392" s="11"/>
      <c r="BE392" s="11"/>
      <c r="BF392" s="11"/>
      <c r="BG392" s="10"/>
      <c r="BH392" s="10"/>
      <c r="BI392" s="16"/>
      <c r="BJ392" s="11"/>
      <c r="BK392" s="11"/>
      <c r="BL392" s="11"/>
      <c r="BM392" s="11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  <c r="BY392" s="16"/>
      <c r="BZ392" s="16"/>
      <c r="CA392" s="16"/>
      <c r="CB392" s="16"/>
      <c r="CC392" s="16"/>
      <c r="CD392" s="16"/>
      <c r="CE392" s="16"/>
      <c r="CF392" s="16"/>
      <c r="CG392" s="16"/>
      <c r="CH392" s="16"/>
    </row>
    <row r="393" spans="1:86" s="5" customFormat="1" x14ac:dyDescent="0.25">
      <c r="T393" s="12"/>
      <c r="V393" s="12"/>
      <c r="X393" s="12"/>
      <c r="Z393" s="12"/>
      <c r="AB393" s="12"/>
      <c r="AD393" s="12"/>
      <c r="AG393" s="12"/>
      <c r="AI393" s="12"/>
      <c r="AK393" s="12"/>
      <c r="AM393" s="12"/>
      <c r="AO393" s="12"/>
      <c r="AR393" s="12"/>
      <c r="AT393" s="12"/>
      <c r="AV393" s="12"/>
      <c r="BA393" s="12"/>
      <c r="BC393" s="12"/>
      <c r="BE393" s="12"/>
      <c r="BJ393" s="12"/>
      <c r="BL393" s="12"/>
    </row>
    <row r="394" spans="1:86" s="5" customFormat="1" x14ac:dyDescent="0.25"/>
    <row r="395" spans="1:86" s="5" customFormat="1" x14ac:dyDescent="0.25"/>
    <row r="396" spans="1:86" s="5" customFormat="1" x14ac:dyDescent="0.25"/>
    <row r="397" spans="1:86" s="5" customFormat="1" x14ac:dyDescent="0.25"/>
    <row r="398" spans="1:86" s="5" customFormat="1" x14ac:dyDescent="0.25"/>
    <row r="399" spans="1:86" s="5" customFormat="1" x14ac:dyDescent="0.25"/>
    <row r="400" spans="1:86" s="5" customFormat="1" x14ac:dyDescent="0.25"/>
    <row r="401" spans="1:73" s="5" customFormat="1" x14ac:dyDescent="0.25"/>
    <row r="402" spans="1:73" s="5" customFormat="1" x14ac:dyDescent="0.25"/>
    <row r="403" spans="1:73" s="5" customFormat="1" x14ac:dyDescent="0.25"/>
    <row r="404" spans="1:73" s="5" customFormat="1" x14ac:dyDescent="0.25"/>
    <row r="405" spans="1:73" s="5" customFormat="1" x14ac:dyDescent="0.25"/>
    <row r="406" spans="1:73" s="5" customFormat="1" x14ac:dyDescent="0.25"/>
    <row r="407" spans="1:73" s="5" customFormat="1" x14ac:dyDescent="0.25"/>
    <row r="408" spans="1:73" s="5" customFormat="1" x14ac:dyDescent="0.25"/>
    <row r="409" spans="1:73" s="5" customFormat="1" x14ac:dyDescent="0.25"/>
    <row r="410" spans="1:73" s="5" customFormat="1" x14ac:dyDescent="0.25"/>
    <row r="411" spans="1:73" s="5" customFormat="1" x14ac:dyDescent="0.25"/>
    <row r="412" spans="1:73" s="5" customFormat="1" x14ac:dyDescent="0.25"/>
    <row r="413" spans="1:73" s="5" customFormat="1" x14ac:dyDescent="0.25"/>
    <row r="414" spans="1:73" s="5" customFormat="1" x14ac:dyDescent="0.25"/>
    <row r="415" spans="1:73" s="5" customFormat="1" x14ac:dyDescent="0.25"/>
    <row r="416" spans="1:73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</row>
    <row r="417" spans="1:73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</row>
    <row r="418" spans="1:73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</row>
    <row r="419" spans="1:73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</row>
    <row r="420" spans="1:73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</row>
    <row r="421" spans="1:73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</row>
    <row r="422" spans="1:73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</row>
    <row r="423" spans="1:73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</row>
    <row r="424" spans="1:73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</row>
    <row r="425" spans="1:73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</row>
    <row r="426" spans="1:73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</row>
    <row r="427" spans="1:73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</row>
    <row r="428" spans="1:73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</row>
    <row r="429" spans="1:73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</row>
    <row r="430" spans="1:73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</row>
    <row r="431" spans="1:73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</row>
    <row r="432" spans="1:73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</row>
    <row r="433" spans="1:73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</row>
    <row r="434" spans="1:73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</row>
    <row r="435" spans="1:73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</row>
    <row r="436" spans="1:73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</row>
    <row r="437" spans="1:73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</row>
    <row r="438" spans="1:73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</row>
    <row r="439" spans="1:73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</row>
    <row r="440" spans="1:73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</row>
    <row r="441" spans="1:73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</row>
    <row r="442" spans="1:73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</row>
    <row r="443" spans="1:73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</row>
    <row r="444" spans="1:73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</row>
    <row r="445" spans="1:73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</row>
    <row r="446" spans="1:73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</row>
    <row r="447" spans="1:73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</row>
    <row r="448" spans="1:73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</row>
    <row r="449" spans="1:73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</row>
    <row r="450" spans="1:73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</row>
    <row r="451" spans="1:73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</row>
    <row r="452" spans="1:73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</row>
    <row r="453" spans="1:73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</row>
    <row r="454" spans="1:73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5"/>
      <c r="AR454" s="15"/>
      <c r="AS454" s="15"/>
      <c r="AT454" s="15"/>
      <c r="AU454" s="15"/>
      <c r="AV454" s="15"/>
      <c r="AW454" s="15"/>
      <c r="AX454" s="5"/>
      <c r="AY454" s="5"/>
      <c r="AZ454" s="5"/>
      <c r="BA454" s="15"/>
      <c r="BB454" s="15"/>
      <c r="BC454" s="15"/>
      <c r="BD454" s="15"/>
      <c r="BE454" s="15"/>
      <c r="BF454" s="15"/>
      <c r="BG454" s="5"/>
      <c r="BH454" s="5"/>
      <c r="BI454" s="5"/>
      <c r="BJ454" s="15"/>
      <c r="BK454" s="15"/>
      <c r="BL454" s="15"/>
      <c r="BM454" s="15"/>
      <c r="BN454" s="5"/>
      <c r="BO454" s="5"/>
      <c r="BP454" s="5"/>
      <c r="BQ454" s="5"/>
      <c r="BR454" s="5"/>
      <c r="BS454" s="5"/>
      <c r="BT454" s="5"/>
      <c r="BU454" s="5"/>
    </row>
    <row r="455" spans="1:73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5"/>
      <c r="AR455" s="15"/>
      <c r="AS455" s="15"/>
      <c r="AT455" s="15"/>
      <c r="AU455" s="15"/>
      <c r="AV455" s="15"/>
      <c r="AW455" s="15"/>
      <c r="AX455" s="5"/>
      <c r="AY455" s="5"/>
      <c r="AZ455" s="5"/>
      <c r="BA455" s="15"/>
      <c r="BB455" s="15"/>
      <c r="BC455" s="15"/>
      <c r="BD455" s="15"/>
      <c r="BE455" s="15"/>
      <c r="BF455" s="15"/>
      <c r="BG455" s="5"/>
      <c r="BH455" s="5"/>
      <c r="BI455" s="5"/>
      <c r="BJ455" s="15"/>
      <c r="BK455" s="15"/>
      <c r="BL455" s="15"/>
      <c r="BM455" s="15"/>
      <c r="BN455" s="5"/>
      <c r="BO455" s="5"/>
      <c r="BP455" s="5"/>
      <c r="BQ455" s="5"/>
      <c r="BR455" s="5"/>
      <c r="BS455" s="5"/>
      <c r="BT455" s="5"/>
      <c r="BU455" s="5"/>
    </row>
    <row r="456" spans="1:73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</row>
    <row r="457" spans="1:73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</row>
    <row r="458" spans="1:73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</row>
    <row r="459" spans="1:73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</row>
    <row r="460" spans="1:73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</row>
    <row r="461" spans="1:73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</row>
    <row r="462" spans="1:73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</row>
    <row r="463" spans="1:73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</row>
    <row r="464" spans="1:73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</row>
    <row r="465" spans="1:73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</row>
    <row r="466" spans="1:73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</row>
    <row r="467" spans="1:73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</row>
    <row r="468" spans="1:73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</row>
  </sheetData>
  <mergeCells count="13">
    <mergeCell ref="A8:B8"/>
    <mergeCell ref="C8:D8"/>
    <mergeCell ref="E8:F8"/>
    <mergeCell ref="G8:H8"/>
    <mergeCell ref="I8:J8"/>
    <mergeCell ref="K8:L8"/>
    <mergeCell ref="C94:D94"/>
    <mergeCell ref="E94:F94"/>
    <mergeCell ref="BE391:BF391"/>
    <mergeCell ref="O8:P8"/>
    <mergeCell ref="Q8:R8"/>
    <mergeCell ref="S8:T8"/>
    <mergeCell ref="M8:N8"/>
  </mergeCells>
  <phoneticPr fontId="0" type="noConversion"/>
  <pageMargins left="0.75" right="0.75" top="1" bottom="1" header="0.5" footer="0.5"/>
  <pageSetup orientation="portrait" horizontalDpi="300" verticalDpi="300" r:id="rId1"/>
  <headerFooter alignWithMargins="0">
    <oddHeader xml:space="preserve">&amp;CTap Interrupter Speed
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6S64XP3KEMWP-14-6502</_dlc_DocId>
    <_dlc_DocIdUrl xmlns="84eed1ed-ea0d-4447-b174-db3d4db55096">
      <Url>https://sandc4.sharepoint.com/sites/sales-manual/_layouts/15/DocIdRedir.aspx?ID=6S64XP3KEMWP-14-6502</Url>
      <Description>6S64XP3KEMWP-14-6502</Description>
    </_dlc_DocIdUrl>
    <Effective_x0020_Date xmlns="a8cebb41-5e77-4e4f-8aab-d357bab500e6">2009-02-16T06:00:00+00:00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58EBD4A-A61A-4AD7-9766-A0E02A763CCD}"/>
</file>

<file path=customXml/itemProps2.xml><?xml version="1.0" encoding="utf-8"?>
<ds:datastoreItem xmlns:ds="http://schemas.openxmlformats.org/officeDocument/2006/customXml" ds:itemID="{3A9AB6D0-F92F-4DFF-8B5C-BC391E8F1C1D}"/>
</file>

<file path=customXml/itemProps3.xml><?xml version="1.0" encoding="utf-8"?>
<ds:datastoreItem xmlns:ds="http://schemas.openxmlformats.org/officeDocument/2006/customXml" ds:itemID="{5659E95E-5B58-4B19-B82B-37FC3A413FC4}"/>
</file>

<file path=customXml/itemProps4.xml><?xml version="1.0" encoding="utf-8"?>
<ds:datastoreItem xmlns:ds="http://schemas.openxmlformats.org/officeDocument/2006/customXml" ds:itemID="{A0DC4F1B-F60E-4B33-8A8B-52E625C6B9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685-9</vt:lpstr>
      <vt:lpstr>'685-9'!Print_Area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685-9 (Excel)</dc:title>
  <dc:subject>Minimum Tripping Time-Current Characteristic Curves, Vista Overcurrent Control-Tap Fault Interrupter</dc:subject>
  <dc:creator>Evan Brownlow</dc:creator>
  <cp:lastModifiedBy>Burman, David</cp:lastModifiedBy>
  <cp:lastPrinted>2014-06-26T20:28:47Z</cp:lastPrinted>
  <dcterms:created xsi:type="dcterms:W3CDTF">2003-08-05T20:32:53Z</dcterms:created>
  <dcterms:modified xsi:type="dcterms:W3CDTF">2016-12-13T20:14:24Z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a73705e9-09af-45d3-b345-a456031002fb</vt:lpwstr>
  </property>
  <property fmtid="{D5CDD505-2E9C-101B-9397-08002B2CF9AE}" pid="4" name="Order">
    <vt:r8>650200</vt:r8>
  </property>
</Properties>
</file>